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8712" firstSheet="5" activeTab="5"/>
  </bookViews>
  <sheets>
    <sheet name="19433 Астрономия 5 класс" sheetId="1" r:id="rId1"/>
    <sheet name="19434 Астрономия 6 класс" sheetId="2" r:id="rId2"/>
    <sheet name="19435 Астрономия 7 класс" sheetId="3" r:id="rId3"/>
    <sheet name="19436 Астрономия 8 класс" sheetId="4" r:id="rId4"/>
    <sheet name="19437 Астрономия 9 класс" sheetId="5" r:id="rId5"/>
    <sheet name="19438 Астрономия 10 класс" sheetId="6" r:id="rId6"/>
    <sheet name="19439 Астрономия 11 класс" sheetId="7" r:id="rId7"/>
    <sheet name="19538 Биология 5 класс" sheetId="8" r:id="rId8"/>
    <sheet name="19539 Биология 6 класс" sheetId="9" r:id="rId9"/>
    <sheet name="19540 Биология 7 класс" sheetId="10" r:id="rId10"/>
    <sheet name="19541 Биология 8 класс" sheetId="11" r:id="rId11"/>
    <sheet name="19542 Биология 9 класс" sheetId="12" r:id="rId12"/>
    <sheet name="19543 Биология 10 класс" sheetId="13" r:id="rId13"/>
    <sheet name="19544 Биология 11 класс" sheetId="14" r:id="rId14"/>
    <sheet name="20328 Демонстрационная 11 класс" sheetId="15" r:id="rId15"/>
    <sheet name="20057 Информатика (инф 5 класс" sheetId="16" r:id="rId16"/>
    <sheet name="20058 Информатика (инф 6 класс" sheetId="17" r:id="rId17"/>
    <sheet name="20059 Информатика (инф 7 класс" sheetId="18" r:id="rId18"/>
    <sheet name="20060 Информатика (инф 8 класс" sheetId="19" r:id="rId19"/>
    <sheet name="20061 Информатика (инф 9 класс" sheetId="20" r:id="rId20"/>
    <sheet name="20062 Информатика (инф 10 класс" sheetId="21" r:id="rId21"/>
    <sheet name="20063 Информатика (инф 11 класс" sheetId="22" r:id="rId22"/>
    <sheet name="20078 Информатика (иск 5 класс" sheetId="23" r:id="rId23"/>
    <sheet name="20079 Информатика (иск 6 класс" sheetId="24" r:id="rId24"/>
    <sheet name="20080 Информатика (иск 7 класс" sheetId="25" r:id="rId25"/>
    <sheet name="20081 Информатика (иск 8 класс" sheetId="26" r:id="rId26"/>
    <sheet name="20082 Информатика (иск 9 класс" sheetId="27" r:id="rId27"/>
    <sheet name="20083 Информатика (иск 10 класс" sheetId="28" r:id="rId28"/>
    <sheet name="20084 Информатика (иск 11 класс" sheetId="29" r:id="rId29"/>
    <sheet name="19903 Информатика (про 5 класс" sheetId="30" r:id="rId30"/>
    <sheet name="19904 Информатика (про 6 класс" sheetId="31" r:id="rId31"/>
    <sheet name="19905 Информатика (про 7 класс" sheetId="32" r:id="rId32"/>
    <sheet name="19906 Информатика (про 8 класс" sheetId="33" r:id="rId33"/>
    <sheet name="19907 Информатика (про 9 класс" sheetId="34" r:id="rId34"/>
    <sheet name="19908 Информатика (про 10 класс" sheetId="35" r:id="rId35"/>
    <sheet name="19909 Информатика (про 11 класс" sheetId="36" r:id="rId36"/>
    <sheet name="19813 Информатика (роб 5 класс" sheetId="37" r:id="rId37"/>
    <sheet name="19814 Информатика (роб 6 класс" sheetId="38" r:id="rId38"/>
    <sheet name="19815 Информатика (роб 7 класс" sheetId="39" r:id="rId39"/>
    <sheet name="19816 Информатика (роб 8 класс" sheetId="40" r:id="rId40"/>
    <sheet name="19817 Информатика (роб 9 класс" sheetId="41" r:id="rId41"/>
    <sheet name="19818 Информатика (роб 10 класс" sheetId="42" r:id="rId42"/>
    <sheet name="19819 Информатика (роб 11 класс" sheetId="43" r:id="rId43"/>
    <sheet name="19693 Математика 4 класс" sheetId="44" r:id="rId44"/>
    <sheet name="19694 Математика 5 класс" sheetId="45" r:id="rId45"/>
    <sheet name="19695 Математика 6 класс" sheetId="46" r:id="rId46"/>
    <sheet name="19696 Математика 7 класс" sheetId="47" r:id="rId47"/>
    <sheet name="19697 Математика 8 класс" sheetId="48" r:id="rId48"/>
    <sheet name="19698 Математика 9 класс" sheetId="49" r:id="rId49"/>
    <sheet name="19699 Математика 10 класс" sheetId="50" r:id="rId50"/>
    <sheet name="19700 Математика 11 класс" sheetId="51" r:id="rId51"/>
    <sheet name="19519 Физика 7 класс" sheetId="52" r:id="rId52"/>
    <sheet name="19520 Физика 8 класс" sheetId="53" r:id="rId53"/>
    <sheet name="19521 Физика 9 класс" sheetId="54" r:id="rId54"/>
    <sheet name="19522 Физика 10 класс" sheetId="55" r:id="rId55"/>
    <sheet name="19523 Физика 11 класс" sheetId="56" r:id="rId56"/>
    <sheet name="19706 Химия 7 класс" sheetId="57" r:id="rId57"/>
    <sheet name="19707 Химия 8 класс" sheetId="58" r:id="rId58"/>
    <sheet name="19708 Химия 9 класс" sheetId="59" r:id="rId59"/>
    <sheet name="19709 Химия 10 класс" sheetId="60" r:id="rId60"/>
    <sheet name="19710 Химия 11 класс" sheetId="61" r:id="rId61"/>
    <sheet name="TimeZones" sheetId="62" state="veryHidden" r:id="rId62"/>
  </sheets>
  <calcPr calcId="152511"/>
</workbook>
</file>

<file path=xl/calcChain.xml><?xml version="1.0" encoding="utf-8"?>
<calcChain xmlns="http://schemas.openxmlformats.org/spreadsheetml/2006/main">
  <c r="D38" i="56" l="1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D7" i="56"/>
  <c r="C7" i="56"/>
  <c r="D6" i="56"/>
  <c r="C6" i="56"/>
  <c r="D5" i="56"/>
  <c r="C5" i="56"/>
  <c r="D4" i="56"/>
  <c r="C4" i="56"/>
  <c r="D3" i="56"/>
  <c r="C3" i="56"/>
  <c r="D45" i="55"/>
  <c r="C45" i="55"/>
  <c r="D44" i="55"/>
  <c r="C44" i="55"/>
  <c r="D43" i="55"/>
  <c r="C43" i="55"/>
  <c r="D42" i="55"/>
  <c r="C42" i="55"/>
  <c r="D41" i="55"/>
  <c r="C41" i="55"/>
  <c r="D40" i="55"/>
  <c r="C40" i="55"/>
  <c r="D39" i="55"/>
  <c r="C39" i="55"/>
  <c r="D38" i="55"/>
  <c r="C38" i="55"/>
  <c r="D37" i="55"/>
  <c r="C37" i="55"/>
  <c r="D36" i="55"/>
  <c r="C36" i="55"/>
  <c r="D35" i="55"/>
  <c r="C35" i="55"/>
  <c r="D34" i="55"/>
  <c r="C34" i="55"/>
  <c r="D33" i="55"/>
  <c r="C33" i="55"/>
  <c r="D32" i="55"/>
  <c r="C32" i="55"/>
  <c r="D31" i="55"/>
  <c r="C31" i="55"/>
  <c r="D30" i="55"/>
  <c r="C30" i="55"/>
  <c r="D29" i="55"/>
  <c r="C29" i="55"/>
  <c r="D28" i="55"/>
  <c r="C28" i="55"/>
  <c r="D27" i="55"/>
  <c r="C27" i="55"/>
  <c r="D26" i="55"/>
  <c r="C26" i="55"/>
  <c r="D25" i="55"/>
  <c r="C25" i="55"/>
  <c r="D24" i="55"/>
  <c r="C24" i="55"/>
  <c r="D23" i="55"/>
  <c r="C23" i="55"/>
  <c r="D22" i="55"/>
  <c r="C22" i="55"/>
  <c r="D21" i="55"/>
  <c r="C21" i="55"/>
  <c r="D20" i="55"/>
  <c r="C20" i="55"/>
  <c r="D19" i="55"/>
  <c r="C19" i="55"/>
  <c r="D18" i="55"/>
  <c r="C18" i="55"/>
  <c r="D17" i="55"/>
  <c r="C17" i="55"/>
  <c r="D16" i="55"/>
  <c r="C16" i="55"/>
  <c r="D15" i="55"/>
  <c r="C15" i="55"/>
  <c r="D14" i="55"/>
  <c r="C14" i="55"/>
  <c r="D13" i="55"/>
  <c r="C13" i="55"/>
  <c r="D12" i="55"/>
  <c r="C12" i="55"/>
  <c r="D11" i="55"/>
  <c r="C11" i="55"/>
  <c r="D10" i="55"/>
  <c r="C10" i="55"/>
  <c r="D9" i="55"/>
  <c r="C9" i="55"/>
  <c r="D8" i="55"/>
  <c r="C8" i="55"/>
  <c r="D7" i="55"/>
  <c r="C7" i="55"/>
  <c r="D6" i="55"/>
  <c r="C6" i="55"/>
  <c r="D5" i="55"/>
  <c r="C5" i="55"/>
  <c r="D4" i="55"/>
  <c r="C4" i="55"/>
  <c r="D3" i="55"/>
  <c r="C3" i="55"/>
  <c r="D37" i="54"/>
  <c r="C37" i="54"/>
  <c r="D36" i="54"/>
  <c r="C36" i="54"/>
  <c r="D35" i="54"/>
  <c r="C35" i="54"/>
  <c r="D34" i="54"/>
  <c r="C34" i="54"/>
  <c r="D33" i="54"/>
  <c r="C33" i="54"/>
  <c r="D32" i="54"/>
  <c r="C32" i="54"/>
  <c r="D31" i="54"/>
  <c r="C31" i="54"/>
  <c r="D30" i="54"/>
  <c r="C30" i="54"/>
  <c r="D29" i="54"/>
  <c r="C29" i="54"/>
  <c r="D28" i="54"/>
  <c r="C28" i="54"/>
  <c r="D27" i="54"/>
  <c r="C27" i="54"/>
  <c r="D26" i="54"/>
  <c r="C26" i="54"/>
  <c r="D25" i="54"/>
  <c r="C25" i="54"/>
  <c r="D24" i="54"/>
  <c r="C24" i="54"/>
  <c r="D23" i="54"/>
  <c r="C23" i="54"/>
  <c r="D22" i="54"/>
  <c r="C22" i="54"/>
  <c r="D21" i="54"/>
  <c r="C21" i="54"/>
  <c r="D20" i="54"/>
  <c r="C20" i="54"/>
  <c r="D19" i="54"/>
  <c r="C19" i="54"/>
  <c r="D18" i="54"/>
  <c r="C18" i="54"/>
  <c r="D17" i="54"/>
  <c r="C17" i="54"/>
  <c r="D16" i="54"/>
  <c r="C16" i="54"/>
  <c r="D15" i="54"/>
  <c r="C15" i="54"/>
  <c r="D14" i="54"/>
  <c r="C14" i="54"/>
  <c r="D13" i="54"/>
  <c r="C13" i="54"/>
  <c r="D12" i="54"/>
  <c r="C12" i="54"/>
  <c r="D11" i="54"/>
  <c r="C11" i="54"/>
  <c r="D10" i="54"/>
  <c r="C10" i="54"/>
  <c r="D9" i="54"/>
  <c r="C9" i="54"/>
  <c r="D8" i="54"/>
  <c r="C8" i="54"/>
  <c r="D7" i="54"/>
  <c r="C7" i="54"/>
  <c r="D6" i="54"/>
  <c r="C6" i="54"/>
  <c r="D5" i="54"/>
  <c r="C5" i="54"/>
  <c r="D4" i="54"/>
  <c r="C4" i="54"/>
  <c r="D3" i="54"/>
  <c r="C3" i="54"/>
  <c r="D59" i="53"/>
  <c r="C59" i="53"/>
  <c r="D58" i="53"/>
  <c r="C58" i="53"/>
  <c r="D57" i="53"/>
  <c r="C57" i="53"/>
  <c r="D56" i="53"/>
  <c r="C56" i="53"/>
  <c r="D55" i="53"/>
  <c r="C55" i="53"/>
  <c r="D54" i="53"/>
  <c r="C54" i="53"/>
  <c r="D53" i="53"/>
  <c r="C53" i="53"/>
  <c r="D52" i="53"/>
  <c r="C52" i="53"/>
  <c r="D51" i="53"/>
  <c r="C51" i="53"/>
  <c r="D50" i="53"/>
  <c r="C50" i="53"/>
  <c r="D49" i="53"/>
  <c r="C49" i="53"/>
  <c r="D48" i="53"/>
  <c r="C48" i="53"/>
  <c r="D47" i="53"/>
  <c r="C47" i="53"/>
  <c r="D46" i="53"/>
  <c r="C46" i="53"/>
  <c r="D45" i="53"/>
  <c r="C45" i="53"/>
  <c r="D44" i="53"/>
  <c r="C44" i="53"/>
  <c r="D43" i="53"/>
  <c r="C43" i="53"/>
  <c r="D42" i="53"/>
  <c r="C42" i="53"/>
  <c r="D41" i="53"/>
  <c r="C41" i="53"/>
  <c r="D40" i="53"/>
  <c r="C40" i="53"/>
  <c r="D39" i="53"/>
  <c r="C39" i="53"/>
  <c r="D38" i="53"/>
  <c r="C38" i="53"/>
  <c r="D37" i="53"/>
  <c r="C37" i="53"/>
  <c r="D36" i="53"/>
  <c r="C36" i="53"/>
  <c r="D35" i="53"/>
  <c r="C35" i="53"/>
  <c r="D34" i="53"/>
  <c r="C34" i="53"/>
  <c r="D33" i="53"/>
  <c r="C33" i="53"/>
  <c r="D32" i="53"/>
  <c r="C32" i="53"/>
  <c r="D31" i="53"/>
  <c r="C31" i="53"/>
  <c r="D30" i="53"/>
  <c r="C30" i="53"/>
  <c r="D29" i="53"/>
  <c r="C29" i="53"/>
  <c r="D28" i="53"/>
  <c r="C28" i="53"/>
  <c r="D27" i="53"/>
  <c r="C27" i="53"/>
  <c r="D26" i="53"/>
  <c r="C26" i="53"/>
  <c r="D25" i="53"/>
  <c r="C25" i="53"/>
  <c r="D24" i="53"/>
  <c r="C24" i="53"/>
  <c r="D23" i="53"/>
  <c r="C23" i="53"/>
  <c r="D22" i="53"/>
  <c r="C22" i="53"/>
  <c r="D21" i="53"/>
  <c r="C21" i="53"/>
  <c r="D20" i="53"/>
  <c r="C20" i="53"/>
  <c r="D19" i="53"/>
  <c r="C19" i="53"/>
  <c r="D18" i="53"/>
  <c r="C18" i="53"/>
  <c r="D17" i="53"/>
  <c r="C17" i="53"/>
  <c r="D16" i="53"/>
  <c r="C16" i="53"/>
  <c r="D15" i="53"/>
  <c r="C15" i="53"/>
  <c r="D14" i="53"/>
  <c r="C14" i="53"/>
  <c r="D13" i="53"/>
  <c r="C13" i="53"/>
  <c r="D12" i="53"/>
  <c r="C12" i="53"/>
  <c r="D11" i="53"/>
  <c r="C11" i="53"/>
  <c r="D10" i="53"/>
  <c r="C10" i="53"/>
  <c r="D9" i="53"/>
  <c r="C9" i="53"/>
  <c r="D8" i="53"/>
  <c r="C8" i="53"/>
  <c r="D7" i="53"/>
  <c r="C7" i="53"/>
  <c r="D6" i="53"/>
  <c r="C6" i="53"/>
  <c r="D5" i="53"/>
  <c r="C5" i="53"/>
  <c r="D4" i="53"/>
  <c r="C4" i="53"/>
  <c r="D3" i="53"/>
  <c r="C3" i="53"/>
  <c r="D58" i="52"/>
  <c r="C58" i="52"/>
  <c r="D57" i="52"/>
  <c r="C57" i="52"/>
  <c r="D56" i="52"/>
  <c r="C56" i="52"/>
  <c r="D55" i="52"/>
  <c r="C55" i="52"/>
  <c r="D54" i="52"/>
  <c r="C54" i="52"/>
  <c r="D53" i="52"/>
  <c r="C53" i="52"/>
  <c r="D52" i="52"/>
  <c r="C52" i="52"/>
  <c r="D51" i="52"/>
  <c r="C51" i="52"/>
  <c r="D50" i="52"/>
  <c r="C50" i="52"/>
  <c r="D49" i="52"/>
  <c r="C49" i="52"/>
  <c r="D48" i="52"/>
  <c r="C48" i="52"/>
  <c r="D47" i="52"/>
  <c r="C47" i="52"/>
  <c r="D46" i="52"/>
  <c r="C46" i="52"/>
  <c r="D45" i="52"/>
  <c r="C45" i="52"/>
  <c r="D44" i="52"/>
  <c r="C44" i="52"/>
  <c r="D43" i="52"/>
  <c r="C43" i="52"/>
  <c r="D42" i="52"/>
  <c r="C42" i="52"/>
  <c r="D41" i="52"/>
  <c r="C41" i="52"/>
  <c r="D40" i="52"/>
  <c r="C40" i="52"/>
  <c r="D39" i="52"/>
  <c r="C39" i="52"/>
  <c r="D38" i="52"/>
  <c r="C38" i="52"/>
  <c r="D37" i="52"/>
  <c r="C37" i="52"/>
  <c r="D36" i="52"/>
  <c r="C36" i="52"/>
  <c r="D35" i="52"/>
  <c r="C35" i="52"/>
  <c r="D34" i="52"/>
  <c r="C34" i="52"/>
  <c r="D33" i="52"/>
  <c r="C33" i="52"/>
  <c r="D32" i="52"/>
  <c r="C32" i="52"/>
  <c r="D31" i="52"/>
  <c r="C31" i="52"/>
  <c r="D30" i="52"/>
  <c r="C30" i="52"/>
  <c r="D29" i="52"/>
  <c r="C29" i="52"/>
  <c r="D28" i="52"/>
  <c r="C28" i="52"/>
  <c r="D27" i="52"/>
  <c r="C27" i="52"/>
  <c r="D26" i="52"/>
  <c r="C26" i="52"/>
  <c r="D25" i="52"/>
  <c r="C25" i="52"/>
  <c r="D24" i="52"/>
  <c r="C24" i="52"/>
  <c r="D23" i="52"/>
  <c r="C23" i="52"/>
  <c r="D22" i="52"/>
  <c r="C22" i="52"/>
  <c r="D21" i="52"/>
  <c r="C21" i="52"/>
  <c r="D20" i="52"/>
  <c r="C20" i="52"/>
  <c r="D19" i="52"/>
  <c r="C19" i="52"/>
  <c r="D18" i="52"/>
  <c r="C18" i="52"/>
  <c r="D17" i="52"/>
  <c r="C17" i="52"/>
  <c r="D16" i="52"/>
  <c r="C16" i="52"/>
  <c r="D15" i="52"/>
  <c r="C15" i="52"/>
  <c r="D14" i="52"/>
  <c r="C14" i="52"/>
  <c r="D13" i="52"/>
  <c r="C13" i="52"/>
  <c r="D12" i="52"/>
  <c r="C12" i="52"/>
  <c r="D11" i="52"/>
  <c r="C11" i="52"/>
  <c r="D10" i="52"/>
  <c r="C10" i="52"/>
  <c r="D9" i="52"/>
  <c r="C9" i="52"/>
  <c r="D8" i="52"/>
  <c r="C8" i="52"/>
  <c r="D7" i="52"/>
  <c r="C7" i="52"/>
  <c r="D6" i="52"/>
  <c r="C6" i="52"/>
  <c r="D5" i="52"/>
  <c r="C5" i="52"/>
  <c r="D4" i="52"/>
  <c r="C4" i="52"/>
  <c r="D3" i="52"/>
  <c r="C3" i="52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F5" i="6"/>
  <c r="E5" i="6"/>
  <c r="F4" i="6"/>
  <c r="E4" i="6"/>
  <c r="F3" i="6"/>
  <c r="E3" i="6"/>
  <c r="F14" i="5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F5" i="5"/>
  <c r="E5" i="5"/>
  <c r="F4" i="5"/>
  <c r="E4" i="5"/>
  <c r="F3" i="5"/>
  <c r="E3" i="5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4" i="1"/>
  <c r="E4" i="1"/>
  <c r="F3" i="1"/>
  <c r="E3" i="1"/>
</calcChain>
</file>

<file path=xl/sharedStrings.xml><?xml version="1.0" encoding="utf-8"?>
<sst xmlns="http://schemas.openxmlformats.org/spreadsheetml/2006/main" count="783" uniqueCount="593">
  <si>
    <t/>
  </si>
  <si>
    <t>19433/edu540283/5/r7634q8w</t>
  </si>
  <si>
    <t>19434/edu540283/6/35vz36q2</t>
  </si>
  <si>
    <t>19434/edu540283/6/57v9wzvq</t>
  </si>
  <si>
    <t>19434/edu540283/6/5qvw7v47</t>
  </si>
  <si>
    <t>19434/edu540283/6/7rv882vq</t>
  </si>
  <si>
    <t>19434/edu540283/6/q4674gv9</t>
  </si>
  <si>
    <t>19434/edu540283/6/r763q6z2</t>
  </si>
  <si>
    <t>19434/edu540283/6/w362z565</t>
  </si>
  <si>
    <t>19435/edu540283/7/23v29586</t>
  </si>
  <si>
    <t>19435/edu540283/7/278r59vg</t>
  </si>
  <si>
    <t>19435/edu540283/7/278rg9vg</t>
  </si>
  <si>
    <t>19435/edu540283/7/358z3v6w</t>
  </si>
  <si>
    <t>19435/edu540283/7/358z4386</t>
  </si>
  <si>
    <t>19435/edu540283/7/7qvw96vw</t>
  </si>
  <si>
    <t>19435/edu540283/7/7qvwq6vw</t>
  </si>
  <si>
    <t>19435/edu540283/7/7qvwr68w</t>
  </si>
  <si>
    <t>19435/edu540283/7/7qvwzr8w</t>
  </si>
  <si>
    <t>19435/edu540283/7/gr8546vw</t>
  </si>
  <si>
    <t>19435/edu540283/7/q4v736v6</t>
  </si>
  <si>
    <t>19435/edu540283/7/q4v776v6</t>
  </si>
  <si>
    <t>19435/edu540283/7/q4v796v6</t>
  </si>
  <si>
    <t>19435/edu540283/7/q4v7g6v6</t>
  </si>
  <si>
    <t>19435/edu540283/7/w3v4r7v2</t>
  </si>
  <si>
    <t>19435/edu540283/7/wr8gg78g</t>
  </si>
  <si>
    <t>19436/edu540283/8/27gr5q6w</t>
  </si>
  <si>
    <t>19436/edu540283/8/27grr9gw</t>
  </si>
  <si>
    <t>19436/edu540283/8/2qgw876z</t>
  </si>
  <si>
    <t>19436/edu540283/8/7r6859g4</t>
  </si>
  <si>
    <t>19436/edu540283/8/q4673869</t>
  </si>
  <si>
    <t>19436/edu540283/8/q467r8g9</t>
  </si>
  <si>
    <t>19436/edu540283/8/w36437g8</t>
  </si>
  <si>
    <t>19437/edu540283/9/23v256rw</t>
  </si>
  <si>
    <t>19437/edu540283/9/276r5qvz</t>
  </si>
  <si>
    <t>19437/edu540283/9/276r896z</t>
  </si>
  <si>
    <t>19437/edu540283/9/276rg9vz</t>
  </si>
  <si>
    <t>19437/edu540283/9/356z8369</t>
  </si>
  <si>
    <t>19437/edu540283/9/57697z64</t>
  </si>
  <si>
    <t>19437/edu540283/9/7r68zw64</t>
  </si>
  <si>
    <t>19437/edu540283/9/8r6g47vg</t>
  </si>
  <si>
    <t>19437/edu540283/9/gr65ww67</t>
  </si>
  <si>
    <t>19437/edu540283/9/q4v73wv3</t>
  </si>
  <si>
    <t>19437/edu540283/9/q4v7qwv3</t>
  </si>
  <si>
    <t>19438/edu540283/10/27vr9gzr</t>
  </si>
  <si>
    <t>19438/edu540283/10/27vrz9vz</t>
  </si>
  <si>
    <t>19438/edu540283/10/2qgq42v6</t>
  </si>
  <si>
    <t>19438/edu540283/10/2qgq52g6</t>
  </si>
  <si>
    <t>19438/edu540283/10/2qvw47g4</t>
  </si>
  <si>
    <t>19438/edu540283/10/35vz73g2</t>
  </si>
  <si>
    <t>19438/edu540283/10/35vz83v2</t>
  </si>
  <si>
    <t>19438/edu540283/10/57v96zgz</t>
  </si>
  <si>
    <t>19438/edu540283/10/87v6wzg4</t>
  </si>
  <si>
    <t>19438/edu540283/10/r7g39qgz</t>
  </si>
  <si>
    <t>19438/edu540283/10/w3g285g6</t>
  </si>
  <si>
    <t>19438/edu540283/10/w3g4r7g8</t>
  </si>
  <si>
    <t>19438/edu540283/10/wrv548g2</t>
  </si>
  <si>
    <t>19519/edu540283/7/23v224v6</t>
  </si>
  <si>
    <t>19519/edu540283/7/23v25865</t>
  </si>
  <si>
    <t>19519/edu540283/7/23v29586</t>
  </si>
  <si>
    <t>19519/edu540283/7/23v2q586</t>
  </si>
  <si>
    <t>19519/edu540283/7/278r498g</t>
  </si>
  <si>
    <t>19519/edu540283/7/278r59vg</t>
  </si>
  <si>
    <t>19519/edu540283/7/278r5qvg</t>
  </si>
  <si>
    <t>19519/edu540283/7/278r99vg</t>
  </si>
  <si>
    <t>19519/edu540283/7/278rz98g</t>
  </si>
  <si>
    <t>19519/edu540283/7/2qvq28rw</t>
  </si>
  <si>
    <t>19519/edu540283/7/2qvqq2vr</t>
  </si>
  <si>
    <t>19519/edu540283/7/358z2286</t>
  </si>
  <si>
    <t>19519/edu540283/7/358z73v6</t>
  </si>
  <si>
    <t>19519/edu540283/7/358z93v6</t>
  </si>
  <si>
    <t>19519/edu540283/7/358zw3v6</t>
  </si>
  <si>
    <t>19519/edu540283/7/57894zvq</t>
  </si>
  <si>
    <t>19519/edu540283/7/57897z8q</t>
  </si>
  <si>
    <t>19519/edu540283/7/5789gz8q</t>
  </si>
  <si>
    <t>19519/edu540283/7/5789wz8q</t>
  </si>
  <si>
    <t>19519/edu540283/7/5789zvqz</t>
  </si>
  <si>
    <t>19519/edu540283/7/67v645v9</t>
  </si>
  <si>
    <t>19519/edu540283/7/67v665v9</t>
  </si>
  <si>
    <t>19519/edu540283/7/67v67589</t>
  </si>
  <si>
    <t>19519/edu540283/7/67v6g589</t>
  </si>
  <si>
    <t>19519/edu540283/7/67v6rwv9</t>
  </si>
  <si>
    <t>19519/edu540283/7/7qvwzr8w</t>
  </si>
  <si>
    <t>19519/edu540283/7/gr8546vw</t>
  </si>
  <si>
    <t>19519/edu540283/7/gr85568w</t>
  </si>
  <si>
    <t>19519/edu540283/7/gr8566vw</t>
  </si>
  <si>
    <t>19519/edu540283/7/gr85778w</t>
  </si>
  <si>
    <t>19519/edu540283/7/gr85q68w</t>
  </si>
  <si>
    <t>19519/edu540283/7/q4v72786</t>
  </si>
  <si>
    <t>19519/edu540283/7/q4v74686</t>
  </si>
  <si>
    <t>19519/edu540283/7/q4v757v6</t>
  </si>
  <si>
    <t>19519/edu540283/7/q4v7r686</t>
  </si>
  <si>
    <t>19519/edu540283/7/r7v33qvz</t>
  </si>
  <si>
    <t>19519/edu540283/7/r7v36r8z</t>
  </si>
  <si>
    <t>19519/edu540283/7/r7v39qvz</t>
  </si>
  <si>
    <t>19519/edu540283/7/r7v3qqvz</t>
  </si>
  <si>
    <t>19519/edu540283/7/w3v43782</t>
  </si>
  <si>
    <t>19519/edu540283/7/w3v45782</t>
  </si>
  <si>
    <t>19519/edu540283/7/w3v467v2</t>
  </si>
  <si>
    <t>19519/edu540283/7/w3v4782r</t>
  </si>
  <si>
    <t>19519/edu540283/7/w3v4g782</t>
  </si>
  <si>
    <t>19519/edu540283/7/w3v4q782</t>
  </si>
  <si>
    <t>19519/edu540283/7/w3v4r7v2</t>
  </si>
  <si>
    <t>19519/edu540283/7/w3v4w582</t>
  </si>
  <si>
    <t>19519/edu540283/7/wr8g47vg</t>
  </si>
  <si>
    <t>19519/edu540283/7/wr8g67vg</t>
  </si>
  <si>
    <t>19519/edu540283/7/wr8g778g</t>
  </si>
  <si>
    <t>19519/edu540283/7/wr8g78g7</t>
  </si>
  <si>
    <t>19519/edu540283/7/wr8gq78g</t>
  </si>
  <si>
    <t>19519/edu540283/7/wr8gw78g</t>
  </si>
  <si>
    <t>19519/edu540283/7/wr8gwq8g</t>
  </si>
  <si>
    <t>19519/edu540283/7/wr8gz7vg</t>
  </si>
  <si>
    <t>19520/edu540283/8/27gr49gq</t>
  </si>
  <si>
    <t>19520/edu540283/8/27gr5qvq</t>
  </si>
  <si>
    <t>19520/edu540283/8/27gr9vq5</t>
  </si>
  <si>
    <t>19520/edu540283/8/27grq9vq</t>
  </si>
  <si>
    <t>19520/edu540283/8/27grr9gq</t>
  </si>
  <si>
    <t>19520/edu540283/8/27grw9vq</t>
  </si>
  <si>
    <t>19520/edu540283/8/27grz9gq</t>
  </si>
  <si>
    <t>19520/edu540283/8/2qvq32v9</t>
  </si>
  <si>
    <t>19520/edu540283/8/2qvq42g9</t>
  </si>
  <si>
    <t>19520/edu540283/8/2qvq62g9</t>
  </si>
  <si>
    <t>19520/edu540283/8/2qvq82g9</t>
  </si>
  <si>
    <t>19520/edu540283/8/35gz3vq6</t>
  </si>
  <si>
    <t>19520/edu540283/8/35gz43gq</t>
  </si>
  <si>
    <t>19520/edu540283/8/35gz63gq</t>
  </si>
  <si>
    <t>19520/edu540283/8/35gz93vq</t>
  </si>
  <si>
    <t>19520/edu540283/8/35gzq3vq</t>
  </si>
  <si>
    <t>19520/edu540283/8/57g93zgq</t>
  </si>
  <si>
    <t>19520/edu540283/8/57g9qzgq</t>
  </si>
  <si>
    <t>19520/edu540283/8/57g9r6vq</t>
  </si>
  <si>
    <t>19520/edu540283/8/57g9zzvq</t>
  </si>
  <si>
    <t>19520/edu540283/8/67v645vr</t>
  </si>
  <si>
    <t>19520/edu540283/8/67v665vr</t>
  </si>
  <si>
    <t>19520/edu540283/8/67v668vr</t>
  </si>
  <si>
    <t>19520/edu540283/8/67v6z5vr</t>
  </si>
  <si>
    <t>19520/edu540283/8/7qgw47vz</t>
  </si>
  <si>
    <t>19520/edu540283/8/7qgw67vz</t>
  </si>
  <si>
    <t>19520/edu540283/8/7qgw77gz</t>
  </si>
  <si>
    <t>19520/edu540283/8/7qgw82vz</t>
  </si>
  <si>
    <t>19520/edu540283/8/7qgw87vz</t>
  </si>
  <si>
    <t>19520/edu540283/8/7qgw97gz</t>
  </si>
  <si>
    <t>19520/edu540283/8/7rg822g5</t>
  </si>
  <si>
    <t>19520/edu540283/8/7rg832v5</t>
  </si>
  <si>
    <t>19520/edu540283/8/7rg852v5</t>
  </si>
  <si>
    <t>19520/edu540283/8/7rg862g5</t>
  </si>
  <si>
    <t>19520/edu540283/8/7rg872v5</t>
  </si>
  <si>
    <t>19520/edu540283/8/q4v736v9</t>
  </si>
  <si>
    <t>19520/edu540283/8/q4v7q6v9</t>
  </si>
  <si>
    <t>19520/edu540283/8/q4v7w6v9</t>
  </si>
  <si>
    <t>19520/edu540283/8/r7v33qvz</t>
  </si>
  <si>
    <t>19520/edu540283/8/r7v38qgz</t>
  </si>
  <si>
    <t>19520/edu540283/8/r7v39qvz</t>
  </si>
  <si>
    <t>19520/edu540283/8/r7v3wqvz</t>
  </si>
  <si>
    <t>19520/edu540283/8/w3v235g7</t>
  </si>
  <si>
    <t>19520/edu540283/8/w3v265v7</t>
  </si>
  <si>
    <t>19520/edu540283/8/w3v275g7</t>
  </si>
  <si>
    <t>19520/edu540283/8/w3v427v7</t>
  </si>
  <si>
    <t>19520/edu540283/8/w3v457g7</t>
  </si>
  <si>
    <t>19520/edu540283/8/w3v467v7</t>
  </si>
  <si>
    <t>19520/edu540283/8/w3v47g7z</t>
  </si>
  <si>
    <t>19520/edu540283/8/w3v4q7g7</t>
  </si>
  <si>
    <t>19520/edu540283/8/w3v4r7v7</t>
  </si>
  <si>
    <t>19520/edu540283/8/w3v4w7g7</t>
  </si>
  <si>
    <t>19520/edu540283/8/wrg546v5</t>
  </si>
  <si>
    <t>19520/edu540283/8/wrg566v5</t>
  </si>
  <si>
    <t>19520/edu540283/8/wrg5q6g5</t>
  </si>
  <si>
    <t>19520/edu540283/8/wrg5r6v5</t>
  </si>
  <si>
    <t>19521/edu540283/9/23625vr9</t>
  </si>
  <si>
    <t>19521/edu540283/9/2362g5vr</t>
  </si>
  <si>
    <t>19521/edu540283/9/27vr49vg</t>
  </si>
  <si>
    <t>19521/edu540283/9/2q6q2vr3</t>
  </si>
  <si>
    <t>19521/edu540283/9/2q6q526r</t>
  </si>
  <si>
    <t>19521/edu540283/9/2q6qw26r</t>
  </si>
  <si>
    <t>19521/edu540283/9/2q6w48vz</t>
  </si>
  <si>
    <t>19521/edu540283/9/2q6w786z</t>
  </si>
  <si>
    <t>19521/edu540283/9/2q6w88vz</t>
  </si>
  <si>
    <t>19521/edu540283/9/2q6w986z</t>
  </si>
  <si>
    <t>19521/edu540283/9/2q6ww86z</t>
  </si>
  <si>
    <t>19521/edu540283/9/2q6wzrvz</t>
  </si>
  <si>
    <t>19521/edu540283/9/35vz7362</t>
  </si>
  <si>
    <t>19521/edu540283/9/35vzw362</t>
  </si>
  <si>
    <t>19521/edu540283/9/57v9qzvq</t>
  </si>
  <si>
    <t>19521/edu540283/9/57v9zz6q</t>
  </si>
  <si>
    <t>19521/edu540283/9/7r68496q</t>
  </si>
  <si>
    <t>19521/edu540283/9/7r68w9vq</t>
  </si>
  <si>
    <t>19521/edu540283/9/grv5286w</t>
  </si>
  <si>
    <t>19521/edu540283/9/grv5486w</t>
  </si>
  <si>
    <t>19521/edu540283/9/grv558vw</t>
  </si>
  <si>
    <t>19521/edu540283/9/grv5w8vw</t>
  </si>
  <si>
    <t>19521/edu540283/9/q4675768</t>
  </si>
  <si>
    <t>19521/edu540283/9/q4677868</t>
  </si>
  <si>
    <t>19521/edu540283/9/q4678v8w</t>
  </si>
  <si>
    <t>19521/edu540283/9/q467r8v8</t>
  </si>
  <si>
    <t>19521/edu540283/9/r7632qvz</t>
  </si>
  <si>
    <t>19521/edu540283/9/r7633q6z</t>
  </si>
  <si>
    <t>19521/edu540283/9/r763q6z3</t>
  </si>
  <si>
    <t>19521/edu540283/9/r763qq6z</t>
  </si>
  <si>
    <t>19521/edu540283/9/r763wq6z</t>
  </si>
  <si>
    <t>19521/edu540283/9/w3647v87</t>
  </si>
  <si>
    <t>19521/edu540283/9/wrvg7vzg</t>
  </si>
  <si>
    <t>19521/edu540283/9/wrvgg7vz</t>
  </si>
  <si>
    <t>19522/edu540283/10/278r5qgw</t>
  </si>
  <si>
    <t>19522/edu540283/10/278r99gw</t>
  </si>
  <si>
    <t>19522/edu540283/10/278rq9gw</t>
  </si>
  <si>
    <t>19522/edu540283/10/278rv98w</t>
  </si>
  <si>
    <t>19522/edu540283/10/278rw9gw</t>
  </si>
  <si>
    <t>19522/edu540283/10/278rz98w</t>
  </si>
  <si>
    <t>19522/edu540283/10/2qgq32g9</t>
  </si>
  <si>
    <t>19522/edu540283/10/2qgq52g9</t>
  </si>
  <si>
    <t>19522/edu540283/10/2qgqv289</t>
  </si>
  <si>
    <t>19522/edu540283/10/2qgqw2g9</t>
  </si>
  <si>
    <t>19522/edu540283/10/358z33gq</t>
  </si>
  <si>
    <t>19522/edu540283/10/358z3gqw</t>
  </si>
  <si>
    <t>19522/edu540283/10/358z52gq</t>
  </si>
  <si>
    <t>19522/edu540283/10/358z73gq</t>
  </si>
  <si>
    <t>19522/edu540283/10/358z93gq</t>
  </si>
  <si>
    <t>19522/edu540283/10/5789vzg9</t>
  </si>
  <si>
    <t>19522/edu540283/10/67g69582</t>
  </si>
  <si>
    <t>19522/edu540283/10/67g6w582</t>
  </si>
  <si>
    <t>19522/edu540283/10/7q8w27gw</t>
  </si>
  <si>
    <t>19522/edu540283/10/7q8w78wz</t>
  </si>
  <si>
    <t>19522/edu540283/10/7q8wr7gw</t>
  </si>
  <si>
    <t>19522/edu540283/10/7q8wv7gw</t>
  </si>
  <si>
    <t>19522/edu540283/10/q4g776g9</t>
  </si>
  <si>
    <t>19522/edu540283/10/q4g7q6g9</t>
  </si>
  <si>
    <t>19522/edu540283/10/r7g32q86</t>
  </si>
  <si>
    <t>19522/edu540283/10/r7g33qg6</t>
  </si>
  <si>
    <t>19522/edu540283/10/r7g3qqg6</t>
  </si>
  <si>
    <t>19522/edu540283/10/r7g3wqg6</t>
  </si>
  <si>
    <t>19522/edu540283/10/r7g3zr86</t>
  </si>
  <si>
    <t>19522/edu540283/10/r98v97gw</t>
  </si>
  <si>
    <t>19522/edu540283/10/r98vr78w</t>
  </si>
  <si>
    <t>19522/edu540283/10/w3g23587</t>
  </si>
  <si>
    <t>19522/edu540283/10/w3g27587</t>
  </si>
  <si>
    <t>19522/edu540283/10/w3g29587</t>
  </si>
  <si>
    <t>19522/edu540283/10/w3g43787</t>
  </si>
  <si>
    <t>19522/edu540283/10/w3g4787z</t>
  </si>
  <si>
    <t>19522/edu540283/10/w3g4q787</t>
  </si>
  <si>
    <t>19522/edu540283/10/w3g4r7g7</t>
  </si>
  <si>
    <t>19522/edu540283/10/w3g4w787</t>
  </si>
  <si>
    <t>19522/edu540283/10/wr8546g5</t>
  </si>
  <si>
    <t>19522/edu540283/10/wr856g54</t>
  </si>
  <si>
    <t>19522/edu540283/10/wr85q685</t>
  </si>
  <si>
    <t>19523/edu540283/11/23w25v65</t>
  </si>
  <si>
    <t>19523/edu540283/11/23w2z5w6</t>
  </si>
  <si>
    <t>19523/edu540283/11/27vr49vz</t>
  </si>
  <si>
    <t>19523/edu540283/11/27vr99wz</t>
  </si>
  <si>
    <t>19523/edu540283/11/27vr9wz5</t>
  </si>
  <si>
    <t>19523/edu540283/11/27vrz9vz</t>
  </si>
  <si>
    <t>19523/edu540283/11/2qwq32w9</t>
  </si>
  <si>
    <t>19523/edu540283/11/2qwq52w9</t>
  </si>
  <si>
    <t>19523/edu540283/11/2qwqq2w9</t>
  </si>
  <si>
    <t>19523/edu540283/11/35vz3wq6</t>
  </si>
  <si>
    <t>19523/edu540283/11/35vz73wq</t>
  </si>
  <si>
    <t>19523/edu540283/11/35vz93wq</t>
  </si>
  <si>
    <t>19523/edu540283/11/57v93zv4</t>
  </si>
  <si>
    <t>19523/edu540283/11/57v9zw42</t>
  </si>
  <si>
    <t>19523/edu540283/11/67w685w8</t>
  </si>
  <si>
    <t>19523/edu540283/11/67w695v8</t>
  </si>
  <si>
    <t>19523/edu540283/11/67w6z5w8</t>
  </si>
  <si>
    <t>19523/edu540283/11/7rv822v5</t>
  </si>
  <si>
    <t>19523/edu540283/11/7rv882v5</t>
  </si>
  <si>
    <t>19523/edu540283/11/7rv8r2v5</t>
  </si>
  <si>
    <t>19523/edu540283/11/83w47v2r</t>
  </si>
  <si>
    <t>19523/edu540283/11/83w4g7v2</t>
  </si>
  <si>
    <t>19523/edu540283/11/8rvg47w7</t>
  </si>
  <si>
    <t>19523/edu540283/11/8rvg67w7</t>
  </si>
  <si>
    <t>19523/edu540283/11/8rvg77v7</t>
  </si>
  <si>
    <t>19523/edu540283/11/8rvg7v7z</t>
  </si>
  <si>
    <t>19523/edu540283/11/grv556v5</t>
  </si>
  <si>
    <t>19523/edu540283/11/grv566w5</t>
  </si>
  <si>
    <t>19523/edu540283/11/grv56w57</t>
  </si>
  <si>
    <t>19523/edu540283/11/grv5r6w5</t>
  </si>
  <si>
    <t>19523/edu540283/11/q4w746v3</t>
  </si>
  <si>
    <t>19523/edu540283/11/q4w76v36</t>
  </si>
  <si>
    <t>19523/edu540283/11/q4w796w3</t>
  </si>
  <si>
    <t>19523/edu540283/11/r7w34qv2</t>
  </si>
  <si>
    <t>19523/edu540283/11/r7w38qv2</t>
  </si>
  <si>
    <t>UTC</t>
  </si>
  <si>
    <t>UTC (МСК-3, UTC)</t>
  </si>
  <si>
    <t>Абашев Данил</t>
  </si>
  <si>
    <t>Айрапетян Нелли Арменовна</t>
  </si>
  <si>
    <t>Аксенов Мирон Вячеславович</t>
  </si>
  <si>
    <t>Амельченко Диана Олеговна</t>
  </si>
  <si>
    <t>Анадырь</t>
  </si>
  <si>
    <t>Анадырь (МСК+9, UTC+12)</t>
  </si>
  <si>
    <t>Андреев Максим Павлович</t>
  </si>
  <si>
    <t>Андреева Алёна Павловна</t>
  </si>
  <si>
    <t>Аникеев Михаил Иванович</t>
  </si>
  <si>
    <t>Антонов Олег Иванович</t>
  </si>
  <si>
    <t>Архипов Артем Александрович</t>
  </si>
  <si>
    <t>Астрахань</t>
  </si>
  <si>
    <t>Астрахань (МСК+1, UTC+4)</t>
  </si>
  <si>
    <t>Бабинчук Алиса Денисовна</t>
  </si>
  <si>
    <t>Балуев Андрей Денисович</t>
  </si>
  <si>
    <t>Банников Алексей Павлович</t>
  </si>
  <si>
    <t>Барабашева Наталья Александровна</t>
  </si>
  <si>
    <t>Баранов Александр Олегович</t>
  </si>
  <si>
    <t>Баранов Матвей Вячеславович</t>
  </si>
  <si>
    <t>Барнаул</t>
  </si>
  <si>
    <t>Барнаул (МСК+4, UTC+7)</t>
  </si>
  <si>
    <t>Баусов Михаил Витальевич</t>
  </si>
  <si>
    <t>Бахман Андрей Александрович</t>
  </si>
  <si>
    <t>Бессонов Никита Вячеславович</t>
  </si>
  <si>
    <t>Бондарева Нина Андреевна</t>
  </si>
  <si>
    <t>Боровская Ксения Ивановна</t>
  </si>
  <si>
    <t>Брагин Илья Александрович</t>
  </si>
  <si>
    <t>Бурашникова Анастасия Константиновна</t>
  </si>
  <si>
    <t>Бурховецкий Тимофей Евгеньевич</t>
  </si>
  <si>
    <t>Бушмакина Алёна Денисовна</t>
  </si>
  <si>
    <t>Быструшкина варвара Викторовна</t>
  </si>
  <si>
    <t>Бычков Артём Антонович</t>
  </si>
  <si>
    <t>Ванеев Матвей Антонович</t>
  </si>
  <si>
    <t>Васильев Георгий Алексеевич</t>
  </si>
  <si>
    <t>Вишневский Алексей Андреевич</t>
  </si>
  <si>
    <t>Вишняков Максим Сергеевич</t>
  </si>
  <si>
    <t>Владивосток</t>
  </si>
  <si>
    <t>Владивосток (МСК+7, UTC+10)</t>
  </si>
  <si>
    <t>Власов Тихомир Юрьевич</t>
  </si>
  <si>
    <t>Власюк Кснения Витальевна</t>
  </si>
  <si>
    <t>Войнов Денис Максимович</t>
  </si>
  <si>
    <t>Волгоград</t>
  </si>
  <si>
    <t>Волгоград (МСК, UTC+3)</t>
  </si>
  <si>
    <t>Гавринёв Филипп Максимович</t>
  </si>
  <si>
    <t>Галевич Руслан Романович</t>
  </si>
  <si>
    <t>Гарагуля Лев Викторович</t>
  </si>
  <si>
    <t>Гаспарян Анри Геворгович</t>
  </si>
  <si>
    <t>Герасимов Яромир Константинович</t>
  </si>
  <si>
    <t>Головин Степан Андреевич</t>
  </si>
  <si>
    <t>Голопятин Егор Иванович</t>
  </si>
  <si>
    <t>Грамота</t>
  </si>
  <si>
    <t>Грачев Дмитрий Георгиевич</t>
  </si>
  <si>
    <t>Григорьев Александр Эдуардович</t>
  </si>
  <si>
    <t>Грязнов Владислав Андреевич</t>
  </si>
  <si>
    <t>Грязнов Максим Андреевич</t>
  </si>
  <si>
    <t>Гусейнов Рафаэль Анар оглы</t>
  </si>
  <si>
    <t>Гутов Никита Сергеевич</t>
  </si>
  <si>
    <t>Дашковецкий Илья Сергеевич</t>
  </si>
  <si>
    <t>Дегтярь Марина Евгеньевна</t>
  </si>
  <si>
    <t>Дениженко Ангелина Валерьевна</t>
  </si>
  <si>
    <t>Добряк Лилия Андреевна</t>
  </si>
  <si>
    <t>Домошонкин Владислав Сергеевич</t>
  </si>
  <si>
    <t>Дурасова Ева Вячеславовна</t>
  </si>
  <si>
    <t>Евдокимова Алиса Петровна</t>
  </si>
  <si>
    <t>Евмененко Егор Сргеевич</t>
  </si>
  <si>
    <t>Евневич София Евгеньевна</t>
  </si>
  <si>
    <t>Евтушок Алиса Евгеньевна</t>
  </si>
  <si>
    <t>Екатеринбург</t>
  </si>
  <si>
    <t>Екатеринбург (МСК+2, UTC+5)</t>
  </si>
  <si>
    <t>Елизаров Михаил Геннадьевич</t>
  </si>
  <si>
    <t>Ельшов Кирилл Борисович</t>
  </si>
  <si>
    <t>Еремеев Даниил Антонович</t>
  </si>
  <si>
    <t>Жальских Климентий Антонович</t>
  </si>
  <si>
    <t>Жоголев Роман Владиславович</t>
  </si>
  <si>
    <t>Жулин Артём Вячеславович</t>
  </si>
  <si>
    <t>Журавлев Алиса Алексеевна</t>
  </si>
  <si>
    <t>Журавлев Иван Вадимович</t>
  </si>
  <si>
    <t>Загайнов Захар Романович</t>
  </si>
  <si>
    <t>Зайко Никита Денисович</t>
  </si>
  <si>
    <t>Зайцев Матвей Андреевич</t>
  </si>
  <si>
    <t>Заковряшина Есения Сергеевна</t>
  </si>
  <si>
    <t>Залевская Ксения Александровна</t>
  </si>
  <si>
    <t>Залевский Даниил Александрович</t>
  </si>
  <si>
    <t>Збоев Ростислав Александрович</t>
  </si>
  <si>
    <t>Зеленев Егор Андреевич</t>
  </si>
  <si>
    <t>Зыков Евгений Игоревич</t>
  </si>
  <si>
    <t>Ибрагимов Владислав Андреевич</t>
  </si>
  <si>
    <t>Иванов Артём Андреевич</t>
  </si>
  <si>
    <t>Иванов Егор Андреевич</t>
  </si>
  <si>
    <t>Иванютенко Александр Евгеньевич</t>
  </si>
  <si>
    <t>Ильин Матвей Фёдорович</t>
  </si>
  <si>
    <t>Иркутск</t>
  </si>
  <si>
    <t>Иркутск (МСК+5, UTC+8)</t>
  </si>
  <si>
    <t>Калашникова Ульяна Дмитриевна</t>
  </si>
  <si>
    <t>Калинин Юрий Дмитриевич</t>
  </si>
  <si>
    <t>Калининград</t>
  </si>
  <si>
    <t>Калининград (МСК-1, UTC+2)</t>
  </si>
  <si>
    <t>Кальмбах Маргарита Александровна</t>
  </si>
  <si>
    <t>Камчатка</t>
  </si>
  <si>
    <t>Камчатка (МСК+9, UTC+12)</t>
  </si>
  <si>
    <t>Караев Амир Эльшадович</t>
  </si>
  <si>
    <t>Караткевич Александр Аркадьевич</t>
  </si>
  <si>
    <t>Каргин Тимофей Дмитриевич</t>
  </si>
  <si>
    <t>Керобян Артём Сережевич</t>
  </si>
  <si>
    <t>Киреева Анастасия Андреевна</t>
  </si>
  <si>
    <t>Киров</t>
  </si>
  <si>
    <t>Киров (МСК, UTC+3)</t>
  </si>
  <si>
    <t>Киснер Артур Владимирович</t>
  </si>
  <si>
    <t>Ковалев Артемий Кириллович</t>
  </si>
  <si>
    <t>Код</t>
  </si>
  <si>
    <t>Кожемякин Давид Константинович</t>
  </si>
  <si>
    <t>Кожемяко Полина Константиновна</t>
  </si>
  <si>
    <t>Козьминых Матвей Константинович</t>
  </si>
  <si>
    <t>Кондратьев Дмитрий Вячеславович</t>
  </si>
  <si>
    <t>Кононенко Анна Сергеевна</t>
  </si>
  <si>
    <t>Коньков Матвей Константинович</t>
  </si>
  <si>
    <t>Копылов Всеволод Владиславович</t>
  </si>
  <si>
    <t>Костричко Елизавета Игоревна</t>
  </si>
  <si>
    <t>Кочеркина Кира Максимовна</t>
  </si>
  <si>
    <t>Кошевский Александр Дмитриевич</t>
  </si>
  <si>
    <t>Кравцов Дмитрий Евгеньевич</t>
  </si>
  <si>
    <t>Кравченко Платон Евгеньевич</t>
  </si>
  <si>
    <t>Крайков Степан Александрович</t>
  </si>
  <si>
    <t>Красногорцев Егор Игоревич</t>
  </si>
  <si>
    <t>Красноярск</t>
  </si>
  <si>
    <t>Красноярск (МСК+4, UTC+7)</t>
  </si>
  <si>
    <t>Кривопалова Таня Антоновна</t>
  </si>
  <si>
    <t>Круш Иван Владимирович</t>
  </si>
  <si>
    <t>Крюков Данила Дмитриевич</t>
  </si>
  <si>
    <t>Ксенофонтова София Ксенофонтовна</t>
  </si>
  <si>
    <t>Кузнеделов Александр Игоревич</t>
  </si>
  <si>
    <t>Кузнеделов Алексанр Игоревич</t>
  </si>
  <si>
    <t>Кузнецова Евгения Владимировна</t>
  </si>
  <si>
    <t>Куравин Лев Игоревич</t>
  </si>
  <si>
    <t>Курдюкова Аврора Алексеевна</t>
  </si>
  <si>
    <t>Лазаренко Арсений Филиппович</t>
  </si>
  <si>
    <t>Лебедев Александр Дмитриевич</t>
  </si>
  <si>
    <t>Лебедев Артемий Евгеньевич</t>
  </si>
  <si>
    <t>Леонович Максим Игоревич</t>
  </si>
  <si>
    <t>Лесникова Виктория Алексеевна</t>
  </si>
  <si>
    <t>Лехнович Илья Евгеньевич</t>
  </si>
  <si>
    <t>Литвинов Павел Евгеньевич</t>
  </si>
  <si>
    <t>Лобинцева Виталина Арсеньевна</t>
  </si>
  <si>
    <t>Лукашевич Лев Станиславович</t>
  </si>
  <si>
    <t>Лукьянов Лев Евгенивич</t>
  </si>
  <si>
    <t>Магадан</t>
  </si>
  <si>
    <t>Магадан (МСК+8, UTC+11)</t>
  </si>
  <si>
    <t>Мажельский Артём Олегович</t>
  </si>
  <si>
    <t>Макарьев Дмитрий Евгеньевич</t>
  </si>
  <si>
    <t>Максимальный балл</t>
  </si>
  <si>
    <t>Мамонтов Дмитрий Александрович</t>
  </si>
  <si>
    <t>Марунченко Дарья Александровна</t>
  </si>
  <si>
    <t>Матвиенко Максим Евгеньевич</t>
  </si>
  <si>
    <t>Машукова Анастасия Николаевна</t>
  </si>
  <si>
    <t>Маяцкая Ксения Константиновна</t>
  </si>
  <si>
    <t>Мельников Тимофей Олегович</t>
  </si>
  <si>
    <t>Мерзлый Данил Вадимович</t>
  </si>
  <si>
    <t>Мирзажонов Абдулазиз Давронбек угли</t>
  </si>
  <si>
    <t>Миронов Игорь Дмитриевич</t>
  </si>
  <si>
    <t>Мищенко Роман Денисович</t>
  </si>
  <si>
    <t>Монастырская Каролина Андреевна</t>
  </si>
  <si>
    <t>Москва</t>
  </si>
  <si>
    <t>Москва (МСК, UTC+3)</t>
  </si>
  <si>
    <t>Муминова Мадина Давронбек кизи</t>
  </si>
  <si>
    <t>Набиев Роман Дмитриевич</t>
  </si>
  <si>
    <t>Набранные баллы</t>
  </si>
  <si>
    <t>Назаров Захар Андреевич</t>
  </si>
  <si>
    <t>Нарашкина Алиса Алексеевна</t>
  </si>
  <si>
    <t>Неживых Вадим Алексеевич</t>
  </si>
  <si>
    <t>Незнанова Виктория Вахтанговна</t>
  </si>
  <si>
    <t>Немцев Александр Данилович</t>
  </si>
  <si>
    <t>Несветаев Илья Денисович</t>
  </si>
  <si>
    <t>Нечаева Валерия Станиславовна</t>
  </si>
  <si>
    <t>Никитенко Софья Валентиновна</t>
  </si>
  <si>
    <t>Никитин Георгий Андреевич</t>
  </si>
  <si>
    <t>Николаев Дмитрий Михайлович</t>
  </si>
  <si>
    <t>Новикова Анна Владимировна</t>
  </si>
  <si>
    <t>Новикова Дарья Сергеевна</t>
  </si>
  <si>
    <t>Новокузнецк</t>
  </si>
  <si>
    <t>Новокузнецк (МСК+4, UTC+7)</t>
  </si>
  <si>
    <t>Новосибирск</t>
  </si>
  <si>
    <t>Новосибирск (МСК+4, UTC+7)</t>
  </si>
  <si>
    <t>Овчиников Артём Андреевич</t>
  </si>
  <si>
    <t>Омск</t>
  </si>
  <si>
    <t>Омск (МСК+3, UTC+6)</t>
  </si>
  <si>
    <t>Орел Иван Андреевич</t>
  </si>
  <si>
    <t>Панкевич Артемий Александрович</t>
  </si>
  <si>
    <t>Панов Евгений Алексеевич</t>
  </si>
  <si>
    <t>Парамзина Юлия Игоревна</t>
  </si>
  <si>
    <t>Парыгина Валерия Артёмовна</t>
  </si>
  <si>
    <t>Пастухова Александра Алексеевна</t>
  </si>
  <si>
    <t>Пахомова Ксения Владимировна</t>
  </si>
  <si>
    <t>Пилипенко Елизавета Андреевна</t>
  </si>
  <si>
    <t>Пилипенко Максим Андреевич</t>
  </si>
  <si>
    <t>Пильноватых Маргарита Валентиновна</t>
  </si>
  <si>
    <t>Питерский Данил Сергеевич</t>
  </si>
  <si>
    <t>Полякова Олеся Сергеевна</t>
  </si>
  <si>
    <t>Попов Арсений Юрьевич</t>
  </si>
  <si>
    <t>Попова Екатерина Ивановна</t>
  </si>
  <si>
    <t>Портнов Олег Алексеевич</t>
  </si>
  <si>
    <t>Посыпкин Александр Павлович</t>
  </si>
  <si>
    <t>Пурышев Тимур Юрьевич</t>
  </si>
  <si>
    <t>Пушкарев Арсений Вадимович</t>
  </si>
  <si>
    <t>Радионов Андрей Витальевич</t>
  </si>
  <si>
    <t>Радченко Арсений Романович</t>
  </si>
  <si>
    <t>Рамзина Валерия Евгеньевна</t>
  </si>
  <si>
    <t>Рогов Михаил Федорович</t>
  </si>
  <si>
    <t>Рудаков Артём Сергеевич</t>
  </si>
  <si>
    <t>Рудых Никита Сергеевич</t>
  </si>
  <si>
    <t>Русских Лука Михайлович</t>
  </si>
  <si>
    <t>Ручкин Александр Дмитриевич</t>
  </si>
  <si>
    <t>Рыбкин Андрей Денисович</t>
  </si>
  <si>
    <t>Рыбкина Анна Евгеньевна</t>
  </si>
  <si>
    <t>Рыболовлев Захар Николаевич</t>
  </si>
  <si>
    <t>Рябов Роман Викторович</t>
  </si>
  <si>
    <t>Савельев Алексей Павлович</t>
  </si>
  <si>
    <t>Савиных Евгений Иванович</t>
  </si>
  <si>
    <t>Савиных Елизавета Ивановна</t>
  </si>
  <si>
    <t>Савоськина София Денисовна</t>
  </si>
  <si>
    <t>Сажаев Тимофей Алексеевич</t>
  </si>
  <si>
    <t>Сазонов Павел Витальевич</t>
  </si>
  <si>
    <t>Сакович Семён Михайлович</t>
  </si>
  <si>
    <t>Сакович Тимофей Михайлович</t>
  </si>
  <si>
    <t>Салитецкий Егор Сергеевич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</si>
  <si>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</si>
  <si>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</si>
  <si>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</si>
  <si>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</si>
  <si>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</si>
  <si>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</si>
  <si>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Саяпина Арина Михайловна</t>
  </si>
  <si>
    <t>Селезнев Игорь Александрович</t>
  </si>
  <si>
    <t>Сергеев Владимир Кириллович</t>
  </si>
  <si>
    <t>Сидоренко Александр Яковлевич</t>
  </si>
  <si>
    <t>Сизиков Семён Алексеевич</t>
  </si>
  <si>
    <t>Симферополь</t>
  </si>
  <si>
    <t>Симферополь (МСК, UTC+3)</t>
  </si>
  <si>
    <t>Скрипаль Ульяна Игоревна</t>
  </si>
  <si>
    <t>Смирнов Владислав Евгеньевич</t>
  </si>
  <si>
    <t>Смоляков Роман Евгеньевич</t>
  </si>
  <si>
    <t>Снегирёв Дмитрий Алексеевич</t>
  </si>
  <si>
    <t>Созонтова Елизавета Николаевна</t>
  </si>
  <si>
    <t>Сорокин Григорий Юрьевич</t>
  </si>
  <si>
    <t>Сотниченко Тимофей Романович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</si>
  <si>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</si>
  <si>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</si>
  <si>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</si>
  <si>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Староверов Максимилиан Дмитриевич</t>
  </si>
  <si>
    <t>Статус</t>
  </si>
  <si>
    <t>Сумин Савелий Викторович</t>
  </si>
  <si>
    <t>Сурнина Варвара Сергеевна</t>
  </si>
  <si>
    <t>Сёмка Виталина Дмитриевна</t>
  </si>
  <si>
    <t>Танчева Полина Алексеевна</t>
  </si>
  <si>
    <t>Тараканов Илья Антонович</t>
  </si>
  <si>
    <t>Тарбеев Захар Николаевич</t>
  </si>
  <si>
    <t>Толкачев Алексей Геннадьевич</t>
  </si>
  <si>
    <t>Томск</t>
  </si>
  <si>
    <t>Томск (МСК+4, UTC+7)</t>
  </si>
  <si>
    <t>Трубников Артём Станиславович</t>
  </si>
  <si>
    <t>Турнаева Полина Леонидовна</t>
  </si>
  <si>
    <t>Турухин Степан Андреевич</t>
  </si>
  <si>
    <t>Ульяновск</t>
  </si>
  <si>
    <t>Ульяновск (МСК+1, UTC+4)</t>
  </si>
  <si>
    <t>Усов Арсений Сергеевич</t>
  </si>
  <si>
    <t>Устименко Егор Витальевич</t>
  </si>
  <si>
    <t>Устинов Егор Иванович</t>
  </si>
  <si>
    <t>Устинова Полина Ивановна</t>
  </si>
  <si>
    <t>Усть-Нера</t>
  </si>
  <si>
    <t>Усть-Нера (МСК+7, UTC+10)</t>
  </si>
  <si>
    <t>ФИО</t>
  </si>
  <si>
    <t>Федоров Виктор Вячеславович</t>
  </si>
  <si>
    <t>Филиппова Мария Дмитриевна</t>
  </si>
  <si>
    <t>Филонова Эмма Алексеевна</t>
  </si>
  <si>
    <t>Фишер Владислав Юрьевич</t>
  </si>
  <si>
    <t>Фогель Никита Максимович</t>
  </si>
  <si>
    <t>Фокин Кирилл Артемович</t>
  </si>
  <si>
    <t>Фомин Алексей Павлович</t>
  </si>
  <si>
    <t>Фёдоров Егор Алексеевич</t>
  </si>
  <si>
    <t>Халин Артём Денисович</t>
  </si>
  <si>
    <t>Хамидулина Альбина Раилевна</t>
  </si>
  <si>
    <t>Хандыга</t>
  </si>
  <si>
    <t>Хандыга (МСК+6, UTC+9)</t>
  </si>
  <si>
    <t>Часовой пояс</t>
  </si>
  <si>
    <t>Чепурнова Варвара Евгеньевна</t>
  </si>
  <si>
    <t>Чернов Роман Константинович</t>
  </si>
  <si>
    <t>Чернодаров Всеволод Алексеевич</t>
  </si>
  <si>
    <t>Чирманов Олег Николаевич</t>
  </si>
  <si>
    <t>Чита</t>
  </si>
  <si>
    <t>Чита (МСК+6, UTC+9)</t>
  </si>
  <si>
    <t>Шалабанов Семëн Сергеевич</t>
  </si>
  <si>
    <t>Шалагин Иван Михайлович</t>
  </si>
  <si>
    <t>Шалагин Роман Михайлович</t>
  </si>
  <si>
    <t>Шаталов Иван Юрьевич</t>
  </si>
  <si>
    <t>Шатилова Анна Владимировна</t>
  </si>
  <si>
    <t>Шатула Алексей Петрович</t>
  </si>
  <si>
    <t>Шевченко Роман Николаевич</t>
  </si>
  <si>
    <t>Шеин Андрей Павлович</t>
  </si>
  <si>
    <t>Шлыков Михаил Михайлович</t>
  </si>
  <si>
    <t>Шумаков Виктор Андреевич</t>
  </si>
  <si>
    <t>Шутов Владимир Владимирович</t>
  </si>
  <si>
    <t>Шушпанов Лев Михайлович</t>
  </si>
  <si>
    <t>Юматов Андрей Алексеевич</t>
  </si>
  <si>
    <t>Юрочкин Дмитрий Сергеевич</t>
  </si>
  <si>
    <t>Якимов Роман Андреевич</t>
  </si>
  <si>
    <t>Яковенко Василина Александровна</t>
  </si>
  <si>
    <t>Яковенко Ксения Александровна</t>
  </si>
  <si>
    <t>Якутск</t>
  </si>
  <si>
    <t>Якутск (МСК+6, UTC+9)</t>
  </si>
  <si>
    <t>Ялунин Михаил Владимирович</t>
  </si>
  <si>
    <t>Ярмухаметов Далимир Радмирович</t>
  </si>
  <si>
    <t>Яхотина Мария Константиновна</t>
  </si>
  <si>
    <t>живицкий максим сергеевич</t>
  </si>
  <si>
    <t>Быструшкина Варвара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</si>
</sst>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.0"/>
    <numFmt numFmtId="165" formatCode="dd\ mmmm\ yyyy\ &quot;в&quot;\ hh:mm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23.21875" customWidth="1"/>
    <col min="5" max="6" width="46.44140625" customWidth="1"/>
    <col min="7" max="7" width="23.21875" customWidth="1"/>
    <col min="8" max="8" width="46.44140625" customWidth="1"/>
  </cols>
  <sheetData>
    <row r="1" spans="1:8" x14ac:dyDescent="0.3">
      <c r="A1" s="1" t="s">
        <v>562</v>
      </c>
      <c r="B1" s="2" t="s">
        <v>461</v>
      </c>
    </row>
    <row r="3" spans="1:8" x14ac:dyDescent="0.3">
      <c r="A3" s="1" t="s">
        <v>389</v>
      </c>
      <c r="B3" s="1" t="s">
        <v>549</v>
      </c>
      <c r="C3" s="1" t="s">
        <v>445</v>
      </c>
      <c r="D3" s="1" t="s">
        <v>429</v>
      </c>
      <c r="E3" s="1" t="str">
        <f>"Время начала сессии (" &amp; VLOOKUP($B$1,TimeZones!$A$1:$C$28,3,FALSE) &amp; ")"</f>
        <v>Время начала сессии (Новосибирск)</v>
      </c>
      <c r="F3" s="1" t="str">
        <f>"Время конца сессии (" &amp; VLOOKUP($B$1,TimeZones!$A$1:$C$28,3,FALSE) &amp; ")"</f>
        <v>Время конца сессии (Новосибирск)</v>
      </c>
      <c r="G3" s="1" t="s">
        <v>528</v>
      </c>
      <c r="H3" s="1" t="s">
        <v>330</v>
      </c>
    </row>
    <row r="4" spans="1:8" x14ac:dyDescent="0.3">
      <c r="A4" s="2" t="s">
        <v>1</v>
      </c>
      <c r="B4" s="2" t="s">
        <v>571</v>
      </c>
      <c r="C4" s="3">
        <v>47</v>
      </c>
      <c r="D4" s="3">
        <v>80</v>
      </c>
      <c r="E4" s="4">
        <f>46290.0571152372 + (VLOOKUP($B$1,TimeZones!$A$1:$C$28,2,FALSE))/24</f>
        <v>46290.348781903864</v>
      </c>
      <c r="F4" s="4">
        <f>46290.0977573736 + (VLOOKUP($B$1,TimeZones!$A$1:$C$28,2,FALSE))/24</f>
        <v>46290.389424040266</v>
      </c>
      <c r="G4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23.21875" customWidth="1"/>
    <col min="5" max="6" width="46.44140625" customWidth="1"/>
    <col min="7" max="7" width="23.21875" customWidth="1"/>
    <col min="8" max="8" width="46.44140625" customWidth="1"/>
  </cols>
  <sheetData>
    <row r="1" spans="1:8" x14ac:dyDescent="0.3">
      <c r="A1" s="1" t="s">
        <v>562</v>
      </c>
      <c r="B1" s="2" t="s">
        <v>461</v>
      </c>
    </row>
    <row r="3" spans="1:8" x14ac:dyDescent="0.3">
      <c r="A3" s="1" t="s">
        <v>389</v>
      </c>
      <c r="B3" s="1" t="s">
        <v>549</v>
      </c>
      <c r="C3" s="1" t="s">
        <v>445</v>
      </c>
      <c r="D3" s="1" t="s">
        <v>429</v>
      </c>
      <c r="E3" s="1" t="str">
        <f>"Время начала сессии (" &amp; VLOOKUP($B$1,TimeZones!$A$1:$C$28,3,FALSE) &amp; ")"</f>
        <v>Время начала сессии (Новосибирск)</v>
      </c>
      <c r="F3" s="1" t="str">
        <f>"Время конца сессии (" &amp; VLOOKUP($B$1,TimeZones!$A$1:$C$28,3,FALSE) &amp; ")"</f>
        <v>Время конца сессии (Новосибирск)</v>
      </c>
      <c r="G3" s="1" t="s">
        <v>528</v>
      </c>
      <c r="H3" s="1" t="s">
        <v>330</v>
      </c>
    </row>
    <row r="4" spans="1:8" x14ac:dyDescent="0.3">
      <c r="A4" s="2" t="s">
        <v>7</v>
      </c>
      <c r="B4" s="2" t="s">
        <v>578</v>
      </c>
      <c r="C4" s="3">
        <v>55</v>
      </c>
      <c r="D4" s="3">
        <v>80</v>
      </c>
      <c r="E4" s="4">
        <f>46290.0424618627 + (VLOOKUP($B$1,TimeZones!$A$1:$C$28,2,FALSE))/24</f>
        <v>46290.334128529365</v>
      </c>
      <c r="F4" s="4">
        <f>46290.0813570362 + (VLOOKUP($B$1,TimeZones!$A$1:$C$28,2,FALSE))/24</f>
        <v>46290.373023702865</v>
      </c>
      <c r="G4" s="2" t="s">
        <v>0</v>
      </c>
    </row>
    <row r="5" spans="1:8" x14ac:dyDescent="0.3">
      <c r="A5" s="2" t="s">
        <v>6</v>
      </c>
      <c r="B5" s="2" t="s">
        <v>287</v>
      </c>
      <c r="C5" s="3">
        <v>47</v>
      </c>
      <c r="D5" s="3">
        <v>80</v>
      </c>
      <c r="E5" s="4">
        <f>46290.0422206888 + (VLOOKUP($B$1,TimeZones!$A$1:$C$28,2,FALSE))/24</f>
        <v>46290.333887355468</v>
      </c>
      <c r="F5" s="4">
        <f>46290.0687858608 + (VLOOKUP($B$1,TimeZones!$A$1:$C$28,2,FALSE))/24</f>
        <v>46290.360452527464</v>
      </c>
      <c r="G5" s="2" t="s">
        <v>0</v>
      </c>
    </row>
    <row r="6" spans="1:8" x14ac:dyDescent="0.3">
      <c r="A6" s="2" t="s">
        <v>2</v>
      </c>
      <c r="B6" s="2" t="s">
        <v>295</v>
      </c>
      <c r="C6" s="3">
        <v>45</v>
      </c>
      <c r="D6" s="3">
        <v>80</v>
      </c>
      <c r="E6" s="4">
        <f>46290.042170913 + (VLOOKUP($B$1,TimeZones!$A$1:$C$28,2,FALSE))/24</f>
        <v>46290.333837579667</v>
      </c>
      <c r="F6" s="4">
        <f>46290.0685141369 + (VLOOKUP($B$1,TimeZones!$A$1:$C$28,2,FALSE))/24</f>
        <v>46290.360180803567</v>
      </c>
      <c r="G6" s="2" t="s">
        <v>0</v>
      </c>
    </row>
    <row r="7" spans="1:8" x14ac:dyDescent="0.3">
      <c r="A7" s="2" t="s">
        <v>8</v>
      </c>
      <c r="B7" s="2" t="s">
        <v>439</v>
      </c>
      <c r="C7" s="3">
        <v>40</v>
      </c>
      <c r="D7" s="3">
        <v>80</v>
      </c>
      <c r="E7" s="4">
        <f>46290.0423310313 + (VLOOKUP($B$1,TimeZones!$A$1:$C$28,2,FALSE))/24</f>
        <v>46290.333997697962</v>
      </c>
      <c r="F7" s="4">
        <f>46290.0802235368 + (VLOOKUP($B$1,TimeZones!$A$1:$C$28,2,FALSE))/24</f>
        <v>46290.371890203467</v>
      </c>
      <c r="G7" s="2" t="s">
        <v>0</v>
      </c>
    </row>
    <row r="8" spans="1:8" x14ac:dyDescent="0.3">
      <c r="A8" s="2" t="s">
        <v>4</v>
      </c>
      <c r="B8" s="2" t="s">
        <v>591</v>
      </c>
      <c r="C8" s="3">
        <v>35</v>
      </c>
      <c r="D8" s="3">
        <v>80</v>
      </c>
      <c r="E8" s="4">
        <f>46290.0421842259 + (VLOOKUP($B$1,TimeZones!$A$1:$C$28,2,FALSE))/24</f>
        <v>46290.333850892566</v>
      </c>
      <c r="F8" s="4">
        <f>46290.071661014 + (VLOOKUP($B$1,TimeZones!$A$1:$C$28,2,FALSE))/24</f>
        <v>46290.363327680665</v>
      </c>
      <c r="G8" s="2" t="s">
        <v>0</v>
      </c>
    </row>
    <row r="9" spans="1:8" x14ac:dyDescent="0.3">
      <c r="A9" s="2" t="s">
        <v>3</v>
      </c>
      <c r="B9" s="2" t="s">
        <v>431</v>
      </c>
      <c r="C9" s="3">
        <v>33</v>
      </c>
      <c r="D9" s="3">
        <v>80</v>
      </c>
      <c r="E9" s="4">
        <f>46290.0423893594 + (VLOOKUP($B$1,TimeZones!$A$1:$C$28,2,FALSE))/24</f>
        <v>46290.334056026062</v>
      </c>
      <c r="F9" s="4">
        <f>46290.0662762824 + (VLOOKUP($B$1,TimeZones!$A$1:$C$28,2,FALSE))/24</f>
        <v>46290.357942949064</v>
      </c>
      <c r="G9" s="2" t="s">
        <v>0</v>
      </c>
    </row>
    <row r="10" spans="1:8" x14ac:dyDescent="0.3">
      <c r="A10" s="2" t="s">
        <v>5</v>
      </c>
      <c r="B10" s="2" t="s">
        <v>424</v>
      </c>
      <c r="C10" s="3">
        <v>22</v>
      </c>
      <c r="D10" s="3">
        <v>80</v>
      </c>
      <c r="E10" s="4">
        <f>46290.0438770756 + (VLOOKUP($B$1,TimeZones!$A$1:$C$28,2,FALSE))/24</f>
        <v>46290.335543742265</v>
      </c>
      <c r="F10" s="4">
        <f>46290.0657377378 + (VLOOKUP($B$1,TimeZones!$A$1:$C$28,2,FALSE))/24</f>
        <v>46290.357404404465</v>
      </c>
      <c r="G10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23" sqref="B23"/>
    </sheetView>
  </sheetViews>
  <sheetFormatPr defaultRowHeight="14.4" x14ac:dyDescent="0.3"/>
  <cols>
    <col min="1" max="1" width="34.77734375" customWidth="1"/>
    <col min="2" max="2" width="58" customWidth="1"/>
    <col min="3" max="4" width="23.21875" customWidth="1"/>
    <col min="5" max="6" width="46.44140625" customWidth="1"/>
    <col min="7" max="7" width="23.21875" customWidth="1"/>
    <col min="8" max="8" width="46.44140625" customWidth="1"/>
  </cols>
  <sheetData>
    <row r="1" spans="1:8" x14ac:dyDescent="0.3">
      <c r="A1" s="1" t="s">
        <v>562</v>
      </c>
      <c r="B1" s="2" t="s">
        <v>461</v>
      </c>
    </row>
    <row r="3" spans="1:8" x14ac:dyDescent="0.3">
      <c r="A3" s="1" t="s">
        <v>389</v>
      </c>
      <c r="B3" s="1" t="s">
        <v>549</v>
      </c>
      <c r="C3" s="1" t="s">
        <v>445</v>
      </c>
      <c r="D3" s="1" t="s">
        <v>429</v>
      </c>
      <c r="E3" s="1" t="str">
        <f>"Время начала сессии (" &amp; VLOOKUP($B$1,TimeZones!$A$1:$C$28,3,FALSE) &amp; ")"</f>
        <v>Время начала сессии (Новосибирск)</v>
      </c>
      <c r="F3" s="1" t="str">
        <f>"Время конца сессии (" &amp; VLOOKUP($B$1,TimeZones!$A$1:$C$28,3,FALSE) &amp; ")"</f>
        <v>Время конца сессии (Новосибирск)</v>
      </c>
      <c r="G3" s="1" t="s">
        <v>528</v>
      </c>
      <c r="H3" s="1" t="s">
        <v>330</v>
      </c>
    </row>
    <row r="4" spans="1:8" x14ac:dyDescent="0.3">
      <c r="A4" s="2" t="s">
        <v>24</v>
      </c>
      <c r="B4" s="2" t="s">
        <v>326</v>
      </c>
      <c r="C4" s="3">
        <v>65</v>
      </c>
      <c r="D4" s="3">
        <v>80</v>
      </c>
      <c r="E4" s="4">
        <f>46290.0632276737 + (VLOOKUP($B$1,TimeZones!$A$1:$C$28,2,FALSE))/24</f>
        <v>46290.354894340366</v>
      </c>
      <c r="F4" s="4">
        <f>46290.0949365774 + (VLOOKUP($B$1,TimeZones!$A$1:$C$28,2,FALSE))/24</f>
        <v>46290.386603244064</v>
      </c>
      <c r="G4" s="2" t="s">
        <v>0</v>
      </c>
    </row>
    <row r="5" spans="1:8" x14ac:dyDescent="0.3">
      <c r="A5" s="2" t="s">
        <v>18</v>
      </c>
      <c r="B5" s="2" t="s">
        <v>495</v>
      </c>
      <c r="C5" s="3">
        <v>55</v>
      </c>
      <c r="D5" s="3">
        <v>80</v>
      </c>
      <c r="E5" s="4">
        <f>46290.0441886378 + (VLOOKUP($B$1,TimeZones!$A$1:$C$28,2,FALSE))/24</f>
        <v>46290.335855304467</v>
      </c>
      <c r="F5" s="4">
        <f>46290.0858553044 + (VLOOKUP($B$1,TimeZones!$A$1:$C$28,2,FALSE))/24</f>
        <v>46290.377521971161</v>
      </c>
      <c r="G5" s="2" t="s">
        <v>0</v>
      </c>
    </row>
    <row r="6" spans="1:8" x14ac:dyDescent="0.3">
      <c r="A6" s="2" t="s">
        <v>20</v>
      </c>
      <c r="B6" s="2" t="s">
        <v>409</v>
      </c>
      <c r="C6" s="3">
        <v>49</v>
      </c>
      <c r="D6" s="3">
        <v>80</v>
      </c>
      <c r="E6" s="4">
        <f>46290.4452870816 + (VLOOKUP($B$1,TimeZones!$A$1:$C$28,2,FALSE))/24</f>
        <v>46290.736953748266</v>
      </c>
      <c r="F6" s="4">
        <f>46290.4640081409 + (VLOOKUP($B$1,TimeZones!$A$1:$C$28,2,FALSE))/24</f>
        <v>46290.755674807566</v>
      </c>
      <c r="G6" s="2" t="s">
        <v>0</v>
      </c>
    </row>
    <row r="7" spans="1:8" x14ac:dyDescent="0.3">
      <c r="A7" s="2" t="s">
        <v>21</v>
      </c>
      <c r="B7" s="2" t="s">
        <v>412</v>
      </c>
      <c r="C7" s="3">
        <v>47</v>
      </c>
      <c r="D7" s="3">
        <v>80</v>
      </c>
      <c r="E7" s="4">
        <f>46290.0503558613 + (VLOOKUP($B$1,TimeZones!$A$1:$C$28,2,FALSE))/24</f>
        <v>46290.342022527962</v>
      </c>
      <c r="F7" s="4">
        <f>46290.0913824853 + (VLOOKUP($B$1,TimeZones!$A$1:$C$28,2,FALSE))/24</f>
        <v>46290.383049151962</v>
      </c>
      <c r="G7" s="2" t="s">
        <v>0</v>
      </c>
    </row>
    <row r="8" spans="1:8" x14ac:dyDescent="0.3">
      <c r="A8" s="2" t="s">
        <v>14</v>
      </c>
      <c r="B8" s="2" t="s">
        <v>592</v>
      </c>
      <c r="C8" s="3">
        <v>45</v>
      </c>
      <c r="D8" s="3">
        <v>80</v>
      </c>
      <c r="E8" s="4">
        <f>46290.0607311195 + (VLOOKUP($B$1,TimeZones!$A$1:$C$28,2,FALSE))/24</f>
        <v>46290.352397786162</v>
      </c>
      <c r="F8" s="4">
        <f>46290.0959718538 + (VLOOKUP($B$1,TimeZones!$A$1:$C$28,2,FALSE))/24</f>
        <v>46290.387638520464</v>
      </c>
      <c r="G8" s="2" t="s">
        <v>0</v>
      </c>
    </row>
    <row r="9" spans="1:8" x14ac:dyDescent="0.3">
      <c r="A9" s="2" t="s">
        <v>9</v>
      </c>
      <c r="B9" s="2" t="s">
        <v>406</v>
      </c>
      <c r="C9" s="3">
        <v>42</v>
      </c>
      <c r="D9" s="3">
        <v>80</v>
      </c>
      <c r="E9" s="4">
        <f>46290.0498489512 + (VLOOKUP($B$1,TimeZones!$A$1:$C$28,2,FALSE))/24</f>
        <v>46290.341515617867</v>
      </c>
      <c r="F9" s="4">
        <f>46290.0915156179 + (VLOOKUP($B$1,TimeZones!$A$1:$C$28,2,FALSE))/24</f>
        <v>46290.383182284568</v>
      </c>
      <c r="G9" s="2" t="s">
        <v>0</v>
      </c>
    </row>
    <row r="10" spans="1:8" x14ac:dyDescent="0.3">
      <c r="A10" s="2" t="s">
        <v>10</v>
      </c>
      <c r="B10" s="2" t="s">
        <v>349</v>
      </c>
      <c r="C10" s="3">
        <v>39</v>
      </c>
      <c r="D10" s="3">
        <v>80</v>
      </c>
      <c r="E10" s="4">
        <f>46290.0572988937 + (VLOOKUP($B$1,TimeZones!$A$1:$C$28,2,FALSE))/24</f>
        <v>46290.348965560363</v>
      </c>
      <c r="F10" s="4">
        <f>46290.0773500722 + (VLOOKUP($B$1,TimeZones!$A$1:$C$28,2,FALSE))/24</f>
        <v>46290.369016738863</v>
      </c>
      <c r="G10" s="2" t="s">
        <v>0</v>
      </c>
    </row>
    <row r="11" spans="1:8" x14ac:dyDescent="0.3">
      <c r="A11" s="2" t="s">
        <v>13</v>
      </c>
      <c r="B11" s="2" t="s">
        <v>456</v>
      </c>
      <c r="C11" s="3">
        <v>37</v>
      </c>
      <c r="D11" s="3">
        <v>80</v>
      </c>
      <c r="E11" s="4">
        <f>46290.0737303604 + (VLOOKUP($B$1,TimeZones!$A$1:$C$28,2,FALSE))/24</f>
        <v>46290.365397027061</v>
      </c>
      <c r="F11" s="4">
        <f>46290.099599009 + (VLOOKUP($B$1,TimeZones!$A$1:$C$28,2,FALSE))/24</f>
        <v>46290.391265675666</v>
      </c>
      <c r="G11" s="2" t="s">
        <v>0</v>
      </c>
    </row>
    <row r="12" spans="1:8" x14ac:dyDescent="0.3">
      <c r="A12" s="2" t="s">
        <v>16</v>
      </c>
      <c r="B12" s="2" t="s">
        <v>503</v>
      </c>
      <c r="C12" s="3">
        <v>37</v>
      </c>
      <c r="D12" s="3">
        <v>80</v>
      </c>
      <c r="E12" s="4">
        <f>46290.0522342598 + (VLOOKUP($B$1,TimeZones!$A$1:$C$28,2,FALSE))/24</f>
        <v>46290.343900926462</v>
      </c>
      <c r="F12" s="4">
        <f>46290.091906602 + (VLOOKUP($B$1,TimeZones!$A$1:$C$28,2,FALSE))/24</f>
        <v>46290.383573268664</v>
      </c>
      <c r="G12" s="2" t="s">
        <v>0</v>
      </c>
    </row>
    <row r="13" spans="1:8" x14ac:dyDescent="0.3">
      <c r="A13" s="2" t="s">
        <v>22</v>
      </c>
      <c r="B13" s="2" t="s">
        <v>304</v>
      </c>
      <c r="C13" s="3">
        <v>36</v>
      </c>
      <c r="D13" s="3">
        <v>80</v>
      </c>
      <c r="E13" s="4">
        <f>46290.07503504 + (VLOOKUP($B$1,TimeZones!$A$1:$C$28,2,FALSE))/24</f>
        <v>46290.366701706662</v>
      </c>
      <c r="F13" s="4">
        <f>46290.1008397249 + (VLOOKUP($B$1,TimeZones!$A$1:$C$28,2,FALSE))/24</f>
        <v>46290.392506391661</v>
      </c>
      <c r="G13" s="2" t="s">
        <v>0</v>
      </c>
    </row>
    <row r="14" spans="1:8" x14ac:dyDescent="0.3">
      <c r="A14" s="2" t="s">
        <v>12</v>
      </c>
      <c r="B14" s="2" t="s">
        <v>340</v>
      </c>
      <c r="C14" s="3">
        <v>35</v>
      </c>
      <c r="D14" s="3">
        <v>80</v>
      </c>
      <c r="E14" s="4">
        <f>46290.0591608257 + (VLOOKUP($B$1,TimeZones!$A$1:$C$28,2,FALSE))/24</f>
        <v>46290.350827492461</v>
      </c>
      <c r="F14" s="4">
        <f>46290.0978487226 + (VLOOKUP($B$1,TimeZones!$A$1:$C$28,2,FALSE))/24</f>
        <v>46290.389515389266</v>
      </c>
      <c r="G14" s="2" t="s">
        <v>0</v>
      </c>
    </row>
    <row r="15" spans="1:8" x14ac:dyDescent="0.3">
      <c r="A15" s="2" t="s">
        <v>23</v>
      </c>
      <c r="B15" s="2" t="s">
        <v>377</v>
      </c>
      <c r="C15" s="3">
        <v>34</v>
      </c>
      <c r="D15" s="3">
        <v>80</v>
      </c>
      <c r="E15" s="4">
        <f>46290.0582166885 + (VLOOKUP($B$1,TimeZones!$A$1:$C$28,2,FALSE))/24</f>
        <v>46290.349883355164</v>
      </c>
      <c r="F15" s="4">
        <f>46290.0788214689 + (VLOOKUP($B$1,TimeZones!$A$1:$C$28,2,FALSE))/24</f>
        <v>46290.370488135566</v>
      </c>
      <c r="G15" s="2" t="s">
        <v>0</v>
      </c>
    </row>
    <row r="16" spans="1:8" x14ac:dyDescent="0.3">
      <c r="A16" s="2" t="s">
        <v>17</v>
      </c>
      <c r="B16" s="2" t="s">
        <v>465</v>
      </c>
      <c r="C16" s="3">
        <v>32</v>
      </c>
      <c r="D16" s="3">
        <v>80</v>
      </c>
      <c r="E16" s="4">
        <f>46290.043475648 + (VLOOKUP($B$1,TimeZones!$A$1:$C$28,2,FALSE))/24</f>
        <v>46290.335142314667</v>
      </c>
      <c r="F16" s="4">
        <f>46290.0619486625 + (VLOOKUP($B$1,TimeZones!$A$1:$C$28,2,FALSE))/24</f>
        <v>46290.353615329164</v>
      </c>
      <c r="G16" s="2" t="s">
        <v>0</v>
      </c>
    </row>
    <row r="17" spans="1:7" x14ac:dyDescent="0.3">
      <c r="A17" s="2" t="s">
        <v>19</v>
      </c>
      <c r="B17" s="2" t="s">
        <v>305</v>
      </c>
      <c r="C17" s="3">
        <v>31</v>
      </c>
      <c r="D17" s="3">
        <v>80</v>
      </c>
      <c r="E17" s="4">
        <f>46290.0574911716 + (VLOOKUP($B$1,TimeZones!$A$1:$C$28,2,FALSE))/24</f>
        <v>46290.349157838267</v>
      </c>
      <c r="F17" s="4">
        <f>46290.075394935 + (VLOOKUP($B$1,TimeZones!$A$1:$C$28,2,FALSE))/24</f>
        <v>46290.367061601661</v>
      </c>
      <c r="G17" s="2" t="s">
        <v>0</v>
      </c>
    </row>
    <row r="18" spans="1:7" x14ac:dyDescent="0.3">
      <c r="A18" s="2" t="s">
        <v>11</v>
      </c>
      <c r="B18" s="2" t="s">
        <v>373</v>
      </c>
      <c r="C18" s="3">
        <v>26</v>
      </c>
      <c r="D18" s="3">
        <v>80</v>
      </c>
      <c r="E18" s="4">
        <f>46290.057260922 + (VLOOKUP($B$1,TimeZones!$A$1:$C$28,2,FALSE))/24</f>
        <v>46290.348927588668</v>
      </c>
      <c r="F18" s="4">
        <f>46290.0754013861 + (VLOOKUP($B$1,TimeZones!$A$1:$C$28,2,FALSE))/24</f>
        <v>46290.367068052765</v>
      </c>
      <c r="G18" s="2" t="s">
        <v>0</v>
      </c>
    </row>
    <row r="19" spans="1:7" x14ac:dyDescent="0.3">
      <c r="A19" s="2" t="s">
        <v>15</v>
      </c>
      <c r="B19" s="2" t="s">
        <v>361</v>
      </c>
      <c r="C19" s="3">
        <v>21</v>
      </c>
      <c r="D19" s="3">
        <v>80</v>
      </c>
      <c r="E19" s="4">
        <f>46290.0795524841 + (VLOOKUP($B$1,TimeZones!$A$1:$C$28,2,FALSE))/24</f>
        <v>46290.371219150766</v>
      </c>
      <c r="F19" s="4">
        <f>46290.0982915096 + (VLOOKUP($B$1,TimeZones!$A$1:$C$28,2,FALSE))/24</f>
        <v>46290.389958176267</v>
      </c>
      <c r="G19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23.21875" customWidth="1"/>
    <col min="5" max="6" width="46.44140625" customWidth="1"/>
    <col min="7" max="7" width="23.21875" customWidth="1"/>
    <col min="8" max="8" width="46.44140625" customWidth="1"/>
  </cols>
  <sheetData>
    <row r="1" spans="1:8" x14ac:dyDescent="0.3">
      <c r="A1" s="1" t="s">
        <v>562</v>
      </c>
      <c r="B1" s="2" t="s">
        <v>461</v>
      </c>
    </row>
    <row r="3" spans="1:8" x14ac:dyDescent="0.3">
      <c r="A3" s="1" t="s">
        <v>389</v>
      </c>
      <c r="B3" s="1" t="s">
        <v>549</v>
      </c>
      <c r="C3" s="1" t="s">
        <v>445</v>
      </c>
      <c r="D3" s="1" t="s">
        <v>429</v>
      </c>
      <c r="E3" s="1" t="str">
        <f>"Время начала сессии (" &amp; VLOOKUP($B$1,TimeZones!$A$1:$C$28,3,FALSE) &amp; ")"</f>
        <v>Время начала сессии (Новосибирск)</v>
      </c>
      <c r="F3" s="1" t="str">
        <f>"Время конца сессии (" &amp; VLOOKUP($B$1,TimeZones!$A$1:$C$28,3,FALSE) &amp; ")"</f>
        <v>Время конца сессии (Новосибирск)</v>
      </c>
      <c r="G3" s="1" t="s">
        <v>528</v>
      </c>
      <c r="H3" s="1" t="s">
        <v>330</v>
      </c>
    </row>
    <row r="4" spans="1:8" x14ac:dyDescent="0.3">
      <c r="A4" s="2" t="s">
        <v>27</v>
      </c>
      <c r="B4" s="2" t="s">
        <v>360</v>
      </c>
      <c r="C4" s="3">
        <v>64</v>
      </c>
      <c r="D4" s="3">
        <v>80</v>
      </c>
      <c r="E4" s="4">
        <f>46290.0467761496 + (VLOOKUP($B$1,TimeZones!$A$1:$C$28,2,FALSE))/24</f>
        <v>46290.338442816261</v>
      </c>
      <c r="F4" s="4">
        <f>46290.0884428163 + (VLOOKUP($B$1,TimeZones!$A$1:$C$28,2,FALSE))/24</f>
        <v>46290.380109482961</v>
      </c>
      <c r="G4" s="2" t="s">
        <v>0</v>
      </c>
    </row>
    <row r="5" spans="1:8" x14ac:dyDescent="0.3">
      <c r="A5" s="2" t="s">
        <v>26</v>
      </c>
      <c r="B5" s="2" t="s">
        <v>440</v>
      </c>
      <c r="C5" s="3">
        <v>62</v>
      </c>
      <c r="D5" s="3">
        <v>80</v>
      </c>
      <c r="E5" s="4">
        <f>46290.0467837016 + (VLOOKUP($B$1,TimeZones!$A$1:$C$28,2,FALSE))/24</f>
        <v>46290.338450368261</v>
      </c>
      <c r="F5" s="4">
        <f>46290.0881293991 + (VLOOKUP($B$1,TimeZones!$A$1:$C$28,2,FALSE))/24</f>
        <v>46290.379796065761</v>
      </c>
      <c r="G5" s="2" t="s">
        <v>0</v>
      </c>
    </row>
    <row r="6" spans="1:8" x14ac:dyDescent="0.3">
      <c r="A6" s="2" t="s">
        <v>25</v>
      </c>
      <c r="B6" s="2" t="s">
        <v>293</v>
      </c>
      <c r="C6" s="3">
        <v>60</v>
      </c>
      <c r="D6" s="3">
        <v>80</v>
      </c>
      <c r="E6" s="4">
        <f>46290.0463913854 + (VLOOKUP($B$1,TimeZones!$A$1:$C$28,2,FALSE))/24</f>
        <v>46290.338058052061</v>
      </c>
      <c r="F6" s="4">
        <f>46290.0880580521 + (VLOOKUP($B$1,TimeZones!$A$1:$C$28,2,FALSE))/24</f>
        <v>46290.379724718761</v>
      </c>
      <c r="G6" s="2" t="s">
        <v>0</v>
      </c>
    </row>
    <row r="7" spans="1:8" x14ac:dyDescent="0.3">
      <c r="A7" s="2" t="s">
        <v>29</v>
      </c>
      <c r="B7" s="2" t="s">
        <v>281</v>
      </c>
      <c r="C7" s="3">
        <v>58</v>
      </c>
      <c r="D7" s="3">
        <v>80</v>
      </c>
      <c r="E7" s="4">
        <f>46290.0474978722 + (VLOOKUP($B$1,TimeZones!$A$1:$C$28,2,FALSE))/24</f>
        <v>46290.339164538862</v>
      </c>
      <c r="F7" s="4">
        <f>46290.0887769854 + (VLOOKUP($B$1,TimeZones!$A$1:$C$28,2,FALSE))/24</f>
        <v>46290.380443652066</v>
      </c>
      <c r="G7" s="2" t="s">
        <v>0</v>
      </c>
    </row>
    <row r="8" spans="1:8" x14ac:dyDescent="0.3">
      <c r="A8" s="2" t="s">
        <v>31</v>
      </c>
      <c r="B8" s="2" t="s">
        <v>393</v>
      </c>
      <c r="C8" s="3">
        <v>52</v>
      </c>
      <c r="D8" s="3">
        <v>80</v>
      </c>
      <c r="E8" s="4">
        <f>46290.0419372991 + (VLOOKUP($B$1,TimeZones!$A$1:$C$28,2,FALSE))/24</f>
        <v>46290.333603965766</v>
      </c>
      <c r="F8" s="4">
        <f>46290.0697491281 + (VLOOKUP($B$1,TimeZones!$A$1:$C$28,2,FALSE))/24</f>
        <v>46290.361415794767</v>
      </c>
      <c r="G8" s="2" t="s">
        <v>0</v>
      </c>
    </row>
    <row r="9" spans="1:8" x14ac:dyDescent="0.3">
      <c r="A9" s="2" t="s">
        <v>30</v>
      </c>
      <c r="B9" s="2" t="s">
        <v>297</v>
      </c>
      <c r="C9" s="3">
        <v>49</v>
      </c>
      <c r="D9" s="3">
        <v>80</v>
      </c>
      <c r="E9" s="4">
        <f>46290.0418016345 + (VLOOKUP($B$1,TimeZones!$A$1:$C$28,2,FALSE))/24</f>
        <v>46290.333468301164</v>
      </c>
      <c r="F9" s="4">
        <f>46290.0689526735 + (VLOOKUP($B$1,TimeZones!$A$1:$C$28,2,FALSE))/24</f>
        <v>46290.360619340165</v>
      </c>
      <c r="G9" s="2" t="s">
        <v>0</v>
      </c>
    </row>
    <row r="10" spans="1:8" x14ac:dyDescent="0.3">
      <c r="A10" s="2" t="s">
        <v>28</v>
      </c>
      <c r="B10" s="2" t="s">
        <v>418</v>
      </c>
      <c r="C10" s="3">
        <v>41</v>
      </c>
      <c r="D10" s="3">
        <v>80</v>
      </c>
      <c r="E10" s="4">
        <f>46290.0423755027 + (VLOOKUP($B$1,TimeZones!$A$1:$C$28,2,FALSE))/24</f>
        <v>46290.334042169365</v>
      </c>
      <c r="F10" s="4">
        <f>46290.0688981153 + (VLOOKUP($B$1,TimeZones!$A$1:$C$28,2,FALSE))/24</f>
        <v>46290.360564781964</v>
      </c>
      <c r="G10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23.21875" customWidth="1"/>
    <col min="5" max="6" width="46.44140625" customWidth="1"/>
    <col min="7" max="7" width="23.21875" customWidth="1"/>
    <col min="8" max="8" width="46.44140625" customWidth="1"/>
  </cols>
  <sheetData>
    <row r="1" spans="1:8" x14ac:dyDescent="0.3">
      <c r="A1" s="1" t="s">
        <v>562</v>
      </c>
      <c r="B1" s="2" t="s">
        <v>461</v>
      </c>
    </row>
    <row r="3" spans="1:8" x14ac:dyDescent="0.3">
      <c r="A3" s="1" t="s">
        <v>389</v>
      </c>
      <c r="B3" s="1" t="s">
        <v>549</v>
      </c>
      <c r="C3" s="1" t="s">
        <v>445</v>
      </c>
      <c r="D3" s="1" t="s">
        <v>429</v>
      </c>
      <c r="E3" s="1" t="str">
        <f>"Время начала сессии (" &amp; VLOOKUP($B$1,TimeZones!$A$1:$C$28,3,FALSE) &amp; ")"</f>
        <v>Время начала сессии (Новосибирск)</v>
      </c>
      <c r="F3" s="1" t="str">
        <f>"Время конца сессии (" &amp; VLOOKUP($B$1,TimeZones!$A$1:$C$28,3,FALSE) &amp; ")"</f>
        <v>Время конца сессии (Новосибирск)</v>
      </c>
      <c r="G3" s="1" t="s">
        <v>528</v>
      </c>
      <c r="H3" s="1" t="s">
        <v>330</v>
      </c>
    </row>
    <row r="4" spans="1:8" x14ac:dyDescent="0.3">
      <c r="A4" s="2" t="s">
        <v>42</v>
      </c>
      <c r="B4" s="2" t="s">
        <v>388</v>
      </c>
      <c r="C4" s="3">
        <v>58</v>
      </c>
      <c r="D4" s="3">
        <v>100</v>
      </c>
      <c r="E4" s="4">
        <f>46290.0417899547 + (VLOOKUP($B$1,TimeZones!$A$1:$C$28,2,FALSE))/24</f>
        <v>46290.333456621367</v>
      </c>
      <c r="F4" s="4">
        <f>46290.0965425047 + (VLOOKUP($B$1,TimeZones!$A$1:$C$28,2,FALSE))/24</f>
        <v>46290.388209171368</v>
      </c>
      <c r="G4" s="2" t="s">
        <v>0</v>
      </c>
    </row>
    <row r="5" spans="1:8" x14ac:dyDescent="0.3">
      <c r="A5" s="2" t="s">
        <v>39</v>
      </c>
      <c r="B5" s="2" t="s">
        <v>436</v>
      </c>
      <c r="C5" s="3">
        <v>56</v>
      </c>
      <c r="D5" s="3">
        <v>100</v>
      </c>
      <c r="E5" s="4">
        <f>46290.0455603618 + (VLOOKUP($B$1,TimeZones!$A$1:$C$28,2,FALSE))/24</f>
        <v>46290.337227028467</v>
      </c>
      <c r="F5" s="4">
        <f>46290.0969569335 + (VLOOKUP($B$1,TimeZones!$A$1:$C$28,2,FALSE))/24</f>
        <v>46290.388623600164</v>
      </c>
      <c r="G5" s="2" t="s">
        <v>0</v>
      </c>
    </row>
    <row r="6" spans="1:8" x14ac:dyDescent="0.3">
      <c r="A6" s="2" t="s">
        <v>35</v>
      </c>
      <c r="B6" s="2" t="s">
        <v>400</v>
      </c>
      <c r="C6" s="3">
        <v>54</v>
      </c>
      <c r="D6" s="3">
        <v>100</v>
      </c>
      <c r="E6" s="4">
        <f>46290.0418307667 + (VLOOKUP($B$1,TimeZones!$A$1:$C$28,2,FALSE))/24</f>
        <v>46290.333497433363</v>
      </c>
      <c r="F6" s="4">
        <f>46290.0703469706 + (VLOOKUP($B$1,TimeZones!$A$1:$C$28,2,FALSE))/24</f>
        <v>46290.362013637263</v>
      </c>
      <c r="G6" s="2" t="s">
        <v>0</v>
      </c>
    </row>
    <row r="7" spans="1:8" x14ac:dyDescent="0.3">
      <c r="A7" s="2" t="s">
        <v>37</v>
      </c>
      <c r="B7" s="2" t="s">
        <v>457</v>
      </c>
      <c r="C7" s="3">
        <v>54</v>
      </c>
      <c r="D7" s="3">
        <v>100</v>
      </c>
      <c r="E7" s="4">
        <f>46290.0418714982 + (VLOOKUP($B$1,TimeZones!$A$1:$C$28,2,FALSE))/24</f>
        <v>46290.333538164865</v>
      </c>
      <c r="F7" s="4">
        <f>46290.0958195232 + (VLOOKUP($B$1,TimeZones!$A$1:$C$28,2,FALSE))/24</f>
        <v>46290.387486189866</v>
      </c>
      <c r="G7" s="2" t="s">
        <v>0</v>
      </c>
    </row>
    <row r="8" spans="1:8" x14ac:dyDescent="0.3">
      <c r="A8" s="2" t="s">
        <v>40</v>
      </c>
      <c r="B8" s="2" t="s">
        <v>498</v>
      </c>
      <c r="C8" s="3">
        <v>52</v>
      </c>
      <c r="D8" s="3">
        <v>100</v>
      </c>
      <c r="E8" s="4">
        <f>46290.0418643825 + (VLOOKUP($B$1,TimeZones!$A$1:$C$28,2,FALSE))/24</f>
        <v>46290.333531049168</v>
      </c>
      <c r="F8" s="4">
        <f>46290.0960394393 + (VLOOKUP($B$1,TimeZones!$A$1:$C$28,2,FALSE))/24</f>
        <v>46290.387706105961</v>
      </c>
      <c r="G8" s="2" t="s">
        <v>0</v>
      </c>
    </row>
    <row r="9" spans="1:8" x14ac:dyDescent="0.3">
      <c r="A9" s="2" t="s">
        <v>36</v>
      </c>
      <c r="B9" s="2" t="s">
        <v>559</v>
      </c>
      <c r="C9" s="3">
        <v>52</v>
      </c>
      <c r="D9" s="3">
        <v>100</v>
      </c>
      <c r="E9" s="4">
        <f>46290.0429310517 + (VLOOKUP($B$1,TimeZones!$A$1:$C$28,2,FALSE))/24</f>
        <v>46290.334597718364</v>
      </c>
      <c r="F9" s="4">
        <f>46290.0957049413 + (VLOOKUP($B$1,TimeZones!$A$1:$C$28,2,FALSE))/24</f>
        <v>46290.387371607962</v>
      </c>
      <c r="G9" s="2" t="s">
        <v>0</v>
      </c>
    </row>
    <row r="10" spans="1:8" x14ac:dyDescent="0.3">
      <c r="A10" s="2" t="s">
        <v>33</v>
      </c>
      <c r="B10" s="2" t="s">
        <v>482</v>
      </c>
      <c r="C10" s="3">
        <v>48</v>
      </c>
      <c r="D10" s="3">
        <v>100</v>
      </c>
      <c r="E10" s="4">
        <f>46290.0466407246 + (VLOOKUP($B$1,TimeZones!$A$1:$C$28,2,FALSE))/24</f>
        <v>46290.338307391263</v>
      </c>
      <c r="F10" s="4">
        <f>46290.0969168167 + (VLOOKUP($B$1,TimeZones!$A$1:$C$28,2,FALSE))/24</f>
        <v>46290.388583483364</v>
      </c>
      <c r="G10" s="2" t="s">
        <v>0</v>
      </c>
    </row>
    <row r="11" spans="1:8" x14ac:dyDescent="0.3">
      <c r="A11" s="2" t="s">
        <v>32</v>
      </c>
      <c r="B11" s="2" t="s">
        <v>303</v>
      </c>
      <c r="C11" s="3">
        <v>43</v>
      </c>
      <c r="D11" s="3">
        <v>100</v>
      </c>
      <c r="E11" s="4">
        <f>46290.041918801 + (VLOOKUP($B$1,TimeZones!$A$1:$C$28,2,FALSE))/24</f>
        <v>46290.333585467662</v>
      </c>
      <c r="F11" s="4">
        <f>46290.0962419232 + (VLOOKUP($B$1,TimeZones!$A$1:$C$28,2,FALSE))/24</f>
        <v>46290.387908589866</v>
      </c>
      <c r="G11" s="2" t="s">
        <v>0</v>
      </c>
    </row>
    <row r="12" spans="1:8" x14ac:dyDescent="0.3">
      <c r="A12" s="2" t="s">
        <v>34</v>
      </c>
      <c r="B12" s="2" t="s">
        <v>581</v>
      </c>
      <c r="C12" s="3">
        <v>41</v>
      </c>
      <c r="D12" s="3">
        <v>100</v>
      </c>
      <c r="E12" s="4">
        <f>46290.0417853275 + (VLOOKUP($B$1,TimeZones!$A$1:$C$28,2,FALSE))/24</f>
        <v>46290.333451994164</v>
      </c>
      <c r="F12" s="4">
        <f>46290.0961948701 + (VLOOKUP($B$1,TimeZones!$A$1:$C$28,2,FALSE))/24</f>
        <v>46290.387861536765</v>
      </c>
      <c r="G12" s="2" t="s">
        <v>0</v>
      </c>
    </row>
    <row r="13" spans="1:8" x14ac:dyDescent="0.3">
      <c r="A13" s="2" t="s">
        <v>41</v>
      </c>
      <c r="B13" s="2" t="s">
        <v>313</v>
      </c>
      <c r="C13" s="3">
        <v>38</v>
      </c>
      <c r="D13" s="3">
        <v>100</v>
      </c>
      <c r="E13" s="4">
        <f>46290.0417334784 + (VLOOKUP($B$1,TimeZones!$A$1:$C$28,2,FALSE))/24</f>
        <v>46290.333400145064</v>
      </c>
      <c r="F13" s="4">
        <f>46290.0962324738 + (VLOOKUP($B$1,TimeZones!$A$1:$C$28,2,FALSE))/24</f>
        <v>46290.387899140464</v>
      </c>
      <c r="G13" s="2" t="s">
        <v>0</v>
      </c>
    </row>
    <row r="14" spans="1:8" x14ac:dyDescent="0.3">
      <c r="A14" s="2" t="s">
        <v>38</v>
      </c>
      <c r="B14" s="2" t="s">
        <v>574</v>
      </c>
      <c r="C14" s="3">
        <v>32</v>
      </c>
      <c r="D14" s="3">
        <v>100</v>
      </c>
      <c r="E14" s="4">
        <f>46290.04603294 + (VLOOKUP($B$1,TimeZones!$A$1:$C$28,2,FALSE))/24</f>
        <v>46290.337699606665</v>
      </c>
      <c r="F14" s="4">
        <f>46290.0963248508 + (VLOOKUP($B$1,TimeZones!$A$1:$C$28,2,FALSE))/24</f>
        <v>46290.387991517462</v>
      </c>
      <c r="G14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/>
  </sheetViews>
  <sheetFormatPr defaultRowHeight="14.4" x14ac:dyDescent="0.3"/>
  <cols>
    <col min="1" max="1" width="34.77734375" customWidth="1"/>
    <col min="2" max="2" width="58" customWidth="1"/>
    <col min="3" max="4" width="23.21875" customWidth="1"/>
    <col min="5" max="6" width="46.44140625" customWidth="1"/>
    <col min="7" max="7" width="23.21875" customWidth="1"/>
    <col min="8" max="8" width="46.44140625" customWidth="1"/>
  </cols>
  <sheetData>
    <row r="1" spans="1:8" x14ac:dyDescent="0.3">
      <c r="A1" s="1" t="s">
        <v>562</v>
      </c>
      <c r="B1" s="2" t="s">
        <v>461</v>
      </c>
    </row>
    <row r="3" spans="1:8" x14ac:dyDescent="0.3">
      <c r="A3" s="1" t="s">
        <v>389</v>
      </c>
      <c r="B3" s="1" t="s">
        <v>549</v>
      </c>
      <c r="C3" s="1" t="s">
        <v>445</v>
      </c>
      <c r="D3" s="1" t="s">
        <v>429</v>
      </c>
      <c r="E3" s="1" t="str">
        <f>"Время начала сессии (" &amp; VLOOKUP($B$1,TimeZones!$A$1:$C$28,3,FALSE) &amp; ")"</f>
        <v>Время начала сессии (Новосибирск)</v>
      </c>
      <c r="F3" s="1" t="str">
        <f>"Время конца сессии (" &amp; VLOOKUP($B$1,TimeZones!$A$1:$C$28,3,FALSE) &amp; ")"</f>
        <v>Время конца сессии (Новосибирск)</v>
      </c>
      <c r="G3" s="1" t="s">
        <v>528</v>
      </c>
      <c r="H3" s="1" t="s">
        <v>330</v>
      </c>
    </row>
    <row r="4" spans="1:8" x14ac:dyDescent="0.3">
      <c r="A4" s="2" t="s">
        <v>44</v>
      </c>
      <c r="B4" s="2" t="s">
        <v>513</v>
      </c>
      <c r="C4" s="3">
        <v>47</v>
      </c>
      <c r="D4" s="3">
        <v>100</v>
      </c>
      <c r="E4" s="4">
        <f>46290.0436244766 + (VLOOKUP($B$1,TimeZones!$A$1:$C$28,2,FALSE))/24</f>
        <v>46290.335291143267</v>
      </c>
      <c r="F4" s="4">
        <f>46290.0969152142 + (VLOOKUP($B$1,TimeZones!$A$1:$C$28,2,FALSE))/24</f>
        <v>46290.388581880863</v>
      </c>
      <c r="G4" s="2" t="s">
        <v>0</v>
      </c>
    </row>
    <row r="5" spans="1:8" x14ac:dyDescent="0.3">
      <c r="A5" s="2" t="s">
        <v>53</v>
      </c>
      <c r="B5" s="2" t="s">
        <v>366</v>
      </c>
      <c r="C5" s="3">
        <v>44</v>
      </c>
      <c r="D5" s="3">
        <v>100</v>
      </c>
      <c r="E5" s="4">
        <f>46290.0450895649 + (VLOOKUP($B$1,TimeZones!$A$1:$C$28,2,FALSE))/24</f>
        <v>46290.336756231562</v>
      </c>
      <c r="F5" s="4">
        <f>46290.0851420807 + (VLOOKUP($B$1,TimeZones!$A$1:$C$28,2,FALSE))/24</f>
        <v>46290.376808747365</v>
      </c>
      <c r="G5" s="2" t="s">
        <v>0</v>
      </c>
    </row>
    <row r="6" spans="1:8" x14ac:dyDescent="0.3">
      <c r="A6" s="2" t="s">
        <v>43</v>
      </c>
      <c r="B6" s="2" t="s">
        <v>499</v>
      </c>
      <c r="C6" s="3">
        <v>44</v>
      </c>
      <c r="D6" s="3">
        <v>100</v>
      </c>
      <c r="E6" s="4">
        <f>46290.0436321481 + (VLOOKUP($B$1,TimeZones!$A$1:$C$28,2,FALSE))/24</f>
        <v>46290.335298814767</v>
      </c>
      <c r="F6" s="4">
        <f>46290.0969090598 + (VLOOKUP($B$1,TimeZones!$A$1:$C$28,2,FALSE))/24</f>
        <v>46290.388575726465</v>
      </c>
      <c r="G6" s="2" t="s">
        <v>0</v>
      </c>
    </row>
    <row r="7" spans="1:8" x14ac:dyDescent="0.3">
      <c r="A7" s="2" t="s">
        <v>51</v>
      </c>
      <c r="B7" s="2" t="s">
        <v>483</v>
      </c>
      <c r="C7" s="3">
        <v>42</v>
      </c>
      <c r="D7" s="3">
        <v>100</v>
      </c>
      <c r="E7" s="4">
        <f>46290.0476305542 + (VLOOKUP($B$1,TimeZones!$A$1:$C$28,2,FALSE))/24</f>
        <v>46290.339297220868</v>
      </c>
      <c r="F7" s="4">
        <f>46290.0805994716 + (VLOOKUP($B$1,TimeZones!$A$1:$C$28,2,FALSE))/24</f>
        <v>46290.372266138264</v>
      </c>
      <c r="G7" s="2" t="s">
        <v>0</v>
      </c>
    </row>
    <row r="8" spans="1:8" x14ac:dyDescent="0.3">
      <c r="A8" s="2" t="s">
        <v>55</v>
      </c>
      <c r="B8" s="2" t="s">
        <v>314</v>
      </c>
      <c r="C8" s="3">
        <v>36</v>
      </c>
      <c r="D8" s="3">
        <v>100</v>
      </c>
      <c r="E8" s="4">
        <f>46290.0436514364 + (VLOOKUP($B$1,TimeZones!$A$1:$C$28,2,FALSE))/24</f>
        <v>46290.335318103062</v>
      </c>
      <c r="F8" s="4">
        <f>46290.0978314232 + (VLOOKUP($B$1,TimeZones!$A$1:$C$28,2,FALSE))/24</f>
        <v>46290.389498089862</v>
      </c>
      <c r="G8" s="2" t="s">
        <v>0</v>
      </c>
    </row>
    <row r="9" spans="1:8" x14ac:dyDescent="0.3">
      <c r="A9" s="2" t="s">
        <v>47</v>
      </c>
      <c r="B9" s="2" t="s">
        <v>403</v>
      </c>
      <c r="C9" s="3">
        <v>36</v>
      </c>
      <c r="D9" s="3">
        <v>100</v>
      </c>
      <c r="E9" s="4">
        <f>46290.0431623279 + (VLOOKUP($B$1,TimeZones!$A$1:$C$28,2,FALSE))/24</f>
        <v>46290.334828994564</v>
      </c>
      <c r="F9" s="4">
        <f>46290.0977327208 + (VLOOKUP($B$1,TimeZones!$A$1:$C$28,2,FALSE))/24</f>
        <v>46290.389399387466</v>
      </c>
      <c r="G9" s="2" t="s">
        <v>0</v>
      </c>
    </row>
    <row r="10" spans="1:8" x14ac:dyDescent="0.3">
      <c r="A10" s="2" t="s">
        <v>54</v>
      </c>
      <c r="B10" s="2" t="s">
        <v>374</v>
      </c>
      <c r="C10" s="3">
        <v>35</v>
      </c>
      <c r="D10" s="3">
        <v>100</v>
      </c>
      <c r="E10" s="4">
        <f>46290.0510503192 + (VLOOKUP($B$1,TimeZones!$A$1:$C$28,2,FALSE))/24</f>
        <v>46290.342716985862</v>
      </c>
      <c r="F10" s="4">
        <f>46290.0981872871 + (VLOOKUP($B$1,TimeZones!$A$1:$C$28,2,FALSE))/24</f>
        <v>46290.389853953762</v>
      </c>
      <c r="G10" s="2" t="s">
        <v>0</v>
      </c>
    </row>
    <row r="11" spans="1:8" x14ac:dyDescent="0.3">
      <c r="A11" s="2" t="s">
        <v>45</v>
      </c>
      <c r="B11" s="2" t="s">
        <v>435</v>
      </c>
      <c r="C11" s="3">
        <v>35</v>
      </c>
      <c r="D11" s="3">
        <v>100</v>
      </c>
      <c r="E11" s="4">
        <f>46290.0435749334 + (VLOOKUP($B$1,TimeZones!$A$1:$C$28,2,FALSE))/24</f>
        <v>46290.335241600063</v>
      </c>
      <c r="F11" s="4">
        <f>46290.0977538575 + (VLOOKUP($B$1,TimeZones!$A$1:$C$28,2,FALSE))/24</f>
        <v>46290.389420524167</v>
      </c>
      <c r="G11" s="2" t="s">
        <v>0</v>
      </c>
    </row>
    <row r="12" spans="1:8" x14ac:dyDescent="0.3">
      <c r="A12" s="2" t="s">
        <v>49</v>
      </c>
      <c r="B12" s="2" t="s">
        <v>411</v>
      </c>
      <c r="C12" s="3">
        <v>26</v>
      </c>
      <c r="D12" s="3">
        <v>100</v>
      </c>
      <c r="E12" s="4">
        <f>46290.047959875 + (VLOOKUP($B$1,TimeZones!$A$1:$C$28,2,FALSE))/24</f>
        <v>46290.339626541667</v>
      </c>
      <c r="F12" s="4">
        <f>46290.0805293446 + (VLOOKUP($B$1,TimeZones!$A$1:$C$28,2,FALSE))/24</f>
        <v>46290.372196011267</v>
      </c>
      <c r="G12" s="2" t="s">
        <v>0</v>
      </c>
    </row>
    <row r="13" spans="1:8" x14ac:dyDescent="0.3">
      <c r="A13" s="2" t="s">
        <v>50</v>
      </c>
      <c r="B13" s="2" t="s">
        <v>475</v>
      </c>
      <c r="C13" s="3">
        <v>25</v>
      </c>
      <c r="D13" s="3">
        <v>100</v>
      </c>
      <c r="E13" s="4">
        <f>46290.0451097618 + (VLOOKUP($B$1,TimeZones!$A$1:$C$28,2,FALSE))/24</f>
        <v>46290.336776428463</v>
      </c>
      <c r="F13" s="4">
        <f>46290.0639638446 + (VLOOKUP($B$1,TimeZones!$A$1:$C$28,2,FALSE))/24</f>
        <v>46290.355630511265</v>
      </c>
      <c r="G13" s="2" t="s">
        <v>0</v>
      </c>
    </row>
    <row r="14" spans="1:8" x14ac:dyDescent="0.3">
      <c r="A14" s="2" t="s">
        <v>52</v>
      </c>
      <c r="B14" s="2" t="s">
        <v>397</v>
      </c>
      <c r="C14" s="3">
        <v>23</v>
      </c>
      <c r="D14" s="3">
        <v>100</v>
      </c>
      <c r="E14" s="4">
        <f>46290.044290145 + (VLOOKUP($B$1,TimeZones!$A$1:$C$28,2,FALSE))/24</f>
        <v>46290.335956811665</v>
      </c>
      <c r="F14" s="4">
        <f>46290.0951437464 + (VLOOKUP($B$1,TimeZones!$A$1:$C$28,2,FALSE))/24</f>
        <v>46290.386810413067</v>
      </c>
      <c r="G14" s="2" t="s">
        <v>0</v>
      </c>
    </row>
    <row r="15" spans="1:8" x14ac:dyDescent="0.3">
      <c r="A15" s="2" t="s">
        <v>46</v>
      </c>
      <c r="B15" s="2" t="s">
        <v>352</v>
      </c>
      <c r="C15" s="3">
        <v>20</v>
      </c>
      <c r="D15" s="3">
        <v>100</v>
      </c>
      <c r="E15" s="4">
        <f>46290.0478906938 + (VLOOKUP($B$1,TimeZones!$A$1:$C$28,2,FALSE))/24</f>
        <v>46290.339557360465</v>
      </c>
      <c r="F15" s="4">
        <f>46290.0841115506 + (VLOOKUP($B$1,TimeZones!$A$1:$C$28,2,FALSE))/24</f>
        <v>46290.375778217262</v>
      </c>
      <c r="G15" s="2" t="s">
        <v>0</v>
      </c>
    </row>
    <row r="16" spans="1:8" x14ac:dyDescent="0.3">
      <c r="A16" s="2" t="s">
        <v>48</v>
      </c>
      <c r="B16" s="2" t="s">
        <v>551</v>
      </c>
      <c r="C16" s="3">
        <v>20</v>
      </c>
      <c r="D16" s="3">
        <v>100</v>
      </c>
      <c r="E16" s="4">
        <f>46290.0445869128 + (VLOOKUP($B$1,TimeZones!$A$1:$C$28,2,FALSE))/24</f>
        <v>46290.336253579466</v>
      </c>
      <c r="F16" s="4">
        <f>46290.0952857747 + (VLOOKUP($B$1,TimeZones!$A$1:$C$28,2,FALSE))/24</f>
        <v>46290.386952441368</v>
      </c>
      <c r="G16" s="2" t="s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46.44140625" customWidth="1"/>
  </cols>
  <sheetData>
    <row r="1" spans="1:4" x14ac:dyDescent="0.3">
      <c r="A1" s="1" t="s">
        <v>562</v>
      </c>
      <c r="B1" s="2" t="s">
        <v>461</v>
      </c>
    </row>
    <row r="3" spans="1:4" x14ac:dyDescent="0.3">
      <c r="A3" s="1" t="s">
        <v>389</v>
      </c>
      <c r="B3" s="1" t="s">
        <v>549</v>
      </c>
      <c r="C3" s="1" t="str">
        <f>"Время начала сессии (" &amp; VLOOKUP($B$1,TimeZones!$A$1:$C$28,3,FALSE) &amp; ")"</f>
        <v>Время начала сессии (Новосибирск)</v>
      </c>
      <c r="D3" s="1" t="str">
        <f>"Время конца сессии (" &amp; VLOOKUP($B$1,TimeZones!$A$1:$C$28,3,FALSE) &amp; ")"</f>
        <v>Время конца сессии (Новосибирск)</v>
      </c>
    </row>
    <row r="4" spans="1:4" x14ac:dyDescent="0.3">
      <c r="A4" s="2" t="s">
        <v>103</v>
      </c>
      <c r="B4" s="2" t="s">
        <v>280</v>
      </c>
      <c r="C4" s="4">
        <f>46297.0420008591 + (VLOOKUP($B$1,TimeZones!$A$1:$C$28,2,FALSE))/24</f>
        <v>46297.333667525767</v>
      </c>
      <c r="D4" s="4">
        <f>46297.0902202368 + (VLOOKUP($B$1,TimeZones!$A$1:$C$28,2,FALSE))/24</f>
        <v>46297.381886903466</v>
      </c>
    </row>
    <row r="5" spans="1:4" x14ac:dyDescent="0.3">
      <c r="A5" s="2" t="s">
        <v>68</v>
      </c>
      <c r="B5" s="2" t="s">
        <v>294</v>
      </c>
      <c r="C5" s="4">
        <f>46297.0436845186 + (VLOOKUP($B$1,TimeZones!$A$1:$C$28,2,FALSE))/24</f>
        <v>46297.335351185262</v>
      </c>
      <c r="D5" s="4">
        <f>46297.0943224569 + (VLOOKUP($B$1,TimeZones!$A$1:$C$28,2,FALSE))/24</f>
        <v>46297.385989123562</v>
      </c>
    </row>
    <row r="6" spans="1:4" x14ac:dyDescent="0.3">
      <c r="A6" s="2" t="s">
        <v>78</v>
      </c>
      <c r="B6" s="2" t="s">
        <v>304</v>
      </c>
      <c r="C6" s="4">
        <f>46297.1189983332 + (VLOOKUP($B$1,TimeZones!$A$1:$C$28,2,FALSE))/24</f>
        <v>46297.410664999865</v>
      </c>
      <c r="D6" s="4">
        <f>46297.1539469538 + (VLOOKUP($B$1,TimeZones!$A$1:$C$28,2,FALSE))/24</f>
        <v>46297.445613620461</v>
      </c>
    </row>
    <row r="7" spans="1:4" x14ac:dyDescent="0.3">
      <c r="A7" s="2" t="s">
        <v>74</v>
      </c>
      <c r="B7" s="2" t="s">
        <v>306</v>
      </c>
      <c r="C7" s="4">
        <f>46297.1137093814 + (VLOOKUP($B$1,TimeZones!$A$1:$C$28,2,FALSE))/24</f>
        <v>46297.405376048067</v>
      </c>
      <c r="D7" s="4">
        <f>46297.1684412686 + (VLOOKUP($B$1,TimeZones!$A$1:$C$28,2,FALSE))/24</f>
        <v>46297.460107935265</v>
      </c>
    </row>
    <row r="8" spans="1:4" x14ac:dyDescent="0.3">
      <c r="A8" s="2" t="s">
        <v>75</v>
      </c>
      <c r="B8" s="2" t="s">
        <v>310</v>
      </c>
      <c r="C8" s="4">
        <f>46297.1181061215 + (VLOOKUP($B$1,TimeZones!$A$1:$C$28,2,FALSE))/24</f>
        <v>46297.409772788167</v>
      </c>
      <c r="D8" s="4">
        <f>46297.1602017452 + (VLOOKUP($B$1,TimeZones!$A$1:$C$28,2,FALSE))/24</f>
        <v>46297.451868411867</v>
      </c>
    </row>
    <row r="9" spans="1:4" x14ac:dyDescent="0.3">
      <c r="A9" s="2" t="s">
        <v>107</v>
      </c>
      <c r="B9" s="2" t="s">
        <v>318</v>
      </c>
      <c r="C9" s="4">
        <f>46297.1140849192 + (VLOOKUP($B$1,TimeZones!$A$1:$C$28,2,FALSE))/24</f>
        <v>46297.405751585866</v>
      </c>
      <c r="D9" s="4">
        <f>46297.1579565183 + (VLOOKUP($B$1,TimeZones!$A$1:$C$28,2,FALSE))/24</f>
        <v>46297.449623184963</v>
      </c>
    </row>
    <row r="10" spans="1:4" x14ac:dyDescent="0.3">
      <c r="A10" s="2" t="s">
        <v>73</v>
      </c>
      <c r="B10" s="2" t="s">
        <v>323</v>
      </c>
      <c r="C10" s="4">
        <f>46297.1184596687 + (VLOOKUP($B$1,TimeZones!$A$1:$C$28,2,FALSE))/24</f>
        <v>46297.410126335366</v>
      </c>
      <c r="D10" s="4">
        <f>46297.1570584404 + (VLOOKUP($B$1,TimeZones!$A$1:$C$28,2,FALSE))/24</f>
        <v>46297.448725107068</v>
      </c>
    </row>
    <row r="11" spans="1:4" x14ac:dyDescent="0.3">
      <c r="A11" s="2" t="s">
        <v>84</v>
      </c>
      <c r="B11" s="2" t="s">
        <v>326</v>
      </c>
      <c r="C11" s="4">
        <f>46297.1177295559 + (VLOOKUP($B$1,TimeZones!$A$1:$C$28,2,FALSE))/24</f>
        <v>46297.409396222567</v>
      </c>
      <c r="D11" s="4">
        <f>46297.149950291 + (VLOOKUP($B$1,TimeZones!$A$1:$C$28,2,FALSE))/24</f>
        <v>46297.441616957665</v>
      </c>
    </row>
    <row r="12" spans="1:4" x14ac:dyDescent="0.3">
      <c r="A12" s="2" t="s">
        <v>90</v>
      </c>
      <c r="B12" s="2" t="s">
        <v>328</v>
      </c>
      <c r="C12" s="4">
        <f>46297.1141125372 + (VLOOKUP($B$1,TimeZones!$A$1:$C$28,2,FALSE))/24</f>
        <v>46297.405779203866</v>
      </c>
      <c r="D12" s="4">
        <f>46297.1611629702 + (VLOOKUP($B$1,TimeZones!$A$1:$C$28,2,FALSE))/24</f>
        <v>46297.452829636866</v>
      </c>
    </row>
    <row r="13" spans="1:4" x14ac:dyDescent="0.3">
      <c r="A13" s="2" t="s">
        <v>83</v>
      </c>
      <c r="B13" s="2" t="s">
        <v>334</v>
      </c>
      <c r="C13" s="4">
        <f>46297.1137750796 + (VLOOKUP($B$1,TimeZones!$A$1:$C$28,2,FALSE))/24</f>
        <v>46297.405441746261</v>
      </c>
      <c r="D13" s="4">
        <f>46297.1279888118 + (VLOOKUP($B$1,TimeZones!$A$1:$C$28,2,FALSE))/24</f>
        <v>46297.419655478465</v>
      </c>
    </row>
    <row r="14" spans="1:4" x14ac:dyDescent="0.3">
      <c r="A14" s="2" t="s">
        <v>89</v>
      </c>
      <c r="B14" s="2" t="s">
        <v>336</v>
      </c>
      <c r="C14" s="4">
        <f>46297.0452030555 + (VLOOKUP($B$1,TimeZones!$A$1:$C$28,2,FALSE))/24</f>
        <v>46297.336869722167</v>
      </c>
      <c r="D14" s="4">
        <f>46297.090907171 + (VLOOKUP($B$1,TimeZones!$A$1:$C$28,2,FALSE))/24</f>
        <v>46297.382573837662</v>
      </c>
    </row>
    <row r="15" spans="1:4" x14ac:dyDescent="0.3">
      <c r="A15" s="2" t="s">
        <v>59</v>
      </c>
      <c r="B15" s="2" t="s">
        <v>338</v>
      </c>
      <c r="C15" s="4">
        <f>46297.1176926838 + (VLOOKUP($B$1,TimeZones!$A$1:$C$28,2,FALSE))/24</f>
        <v>46297.409359350466</v>
      </c>
      <c r="D15" s="4">
        <f>46297.1559357167 + (VLOOKUP($B$1,TimeZones!$A$1:$C$28,2,FALSE))/24</f>
        <v>46297.447602383363</v>
      </c>
    </row>
    <row r="16" spans="1:4" x14ac:dyDescent="0.3">
      <c r="A16" s="2" t="s">
        <v>67</v>
      </c>
      <c r="B16" s="2" t="s">
        <v>340</v>
      </c>
      <c r="C16" s="4">
        <f>46297.1186892444 + (VLOOKUP($B$1,TimeZones!$A$1:$C$28,2,FALSE))/24</f>
        <v>46297.410355911066</v>
      </c>
      <c r="D16" s="4">
        <f>46297.1561704645 + (VLOOKUP($B$1,TimeZones!$A$1:$C$28,2,FALSE))/24</f>
        <v>46297.447837131163</v>
      </c>
    </row>
    <row r="17" spans="1:4" x14ac:dyDescent="0.3">
      <c r="A17" s="2" t="s">
        <v>85</v>
      </c>
      <c r="B17" s="2" t="s">
        <v>349</v>
      </c>
      <c r="C17" s="4">
        <f>46297.0431185355 + (VLOOKUP($B$1,TimeZones!$A$1:$C$28,2,FALSE))/24</f>
        <v>46297.334785202162</v>
      </c>
      <c r="D17" s="4">
        <f>46297.1021841684 + (VLOOKUP($B$1,TimeZones!$A$1:$C$28,2,FALSE))/24</f>
        <v>46297.393850835062</v>
      </c>
    </row>
    <row r="18" spans="1:4" x14ac:dyDescent="0.3">
      <c r="A18" s="2" t="s">
        <v>101</v>
      </c>
      <c r="B18" s="2" t="s">
        <v>350</v>
      </c>
      <c r="C18" s="4">
        <f>46297.1141204334 + (VLOOKUP($B$1,TimeZones!$A$1:$C$28,2,FALSE))/24</f>
        <v>46297.405787100062</v>
      </c>
      <c r="D18" s="4">
        <f>46297.1521547912 + (VLOOKUP($B$1,TimeZones!$A$1:$C$28,2,FALSE))/24</f>
        <v>46297.443821457862</v>
      </c>
    </row>
    <row r="19" spans="1:4" x14ac:dyDescent="0.3">
      <c r="A19" s="2" t="s">
        <v>72</v>
      </c>
      <c r="B19" s="2" t="s">
        <v>353</v>
      </c>
      <c r="C19" s="4">
        <f>46297.5878095696 + (VLOOKUP($B$1,TimeZones!$A$1:$C$28,2,FALSE))/24</f>
        <v>46297.879476236267</v>
      </c>
      <c r="D19" s="4">
        <f>46297.6083300868 + (VLOOKUP($B$1,TimeZones!$A$1:$C$28,2,FALSE))/24</f>
        <v>46297.899996753462</v>
      </c>
    </row>
    <row r="20" spans="1:4" x14ac:dyDescent="0.3">
      <c r="A20" s="2" t="s">
        <v>87</v>
      </c>
      <c r="B20" s="2" t="s">
        <v>361</v>
      </c>
      <c r="C20" s="4">
        <f>46297.1186945287 + (VLOOKUP($B$1,TimeZones!$A$1:$C$28,2,FALSE))/24</f>
        <v>46297.410361195361</v>
      </c>
      <c r="D20" s="4">
        <f>46297.152319686 + (VLOOKUP($B$1,TimeZones!$A$1:$C$28,2,FALSE))/24</f>
        <v>46297.443986352664</v>
      </c>
    </row>
    <row r="21" spans="1:4" x14ac:dyDescent="0.3">
      <c r="A21" s="2" t="s">
        <v>63</v>
      </c>
      <c r="B21" s="2" t="s">
        <v>364</v>
      </c>
      <c r="C21" s="4">
        <f>46297.1152838438 + (VLOOKUP($B$1,TimeZones!$A$1:$C$28,2,FALSE))/24</f>
        <v>46297.406950510464</v>
      </c>
      <c r="D21" s="4">
        <f>46297.1578376487 + (VLOOKUP($B$1,TimeZones!$A$1:$C$28,2,FALSE))/24</f>
        <v>46297.449504315366</v>
      </c>
    </row>
    <row r="22" spans="1:4" x14ac:dyDescent="0.3">
      <c r="A22" s="2" t="s">
        <v>70</v>
      </c>
      <c r="B22" s="2" t="s">
        <v>368</v>
      </c>
      <c r="C22" s="4">
        <f>46297.1186742315 + (VLOOKUP($B$1,TimeZones!$A$1:$C$28,2,FALSE))/24</f>
        <v>46297.410340898161</v>
      </c>
      <c r="D22" s="4">
        <f>46297.1374395248 + (VLOOKUP($B$1,TimeZones!$A$1:$C$28,2,FALSE))/24</f>
        <v>46297.429106191463</v>
      </c>
    </row>
    <row r="23" spans="1:4" x14ac:dyDescent="0.3">
      <c r="A23" s="2" t="s">
        <v>104</v>
      </c>
      <c r="B23" s="2" t="s">
        <v>395</v>
      </c>
      <c r="C23" s="4">
        <f>46297.1141003004 + (VLOOKUP($B$1,TimeZones!$A$1:$C$28,2,FALSE))/24</f>
        <v>46297.405766967066</v>
      </c>
      <c r="D23" s="4">
        <f>46297.1372773372 + (VLOOKUP($B$1,TimeZones!$A$1:$C$28,2,FALSE))/24</f>
        <v>46297.428944003863</v>
      </c>
    </row>
    <row r="24" spans="1:4" x14ac:dyDescent="0.3">
      <c r="A24" s="2" t="s">
        <v>62</v>
      </c>
      <c r="B24" s="2" t="s">
        <v>396</v>
      </c>
      <c r="C24" s="4">
        <f>46297.1146268372 + (VLOOKUP($B$1,TimeZones!$A$1:$C$28,2,FALSE))/24</f>
        <v>46297.406293503867</v>
      </c>
      <c r="D24" s="4">
        <f>46297.1531412291 + (VLOOKUP($B$1,TimeZones!$A$1:$C$28,2,FALSE))/24</f>
        <v>46297.444807895765</v>
      </c>
    </row>
    <row r="25" spans="1:4" x14ac:dyDescent="0.3">
      <c r="A25" s="2" t="s">
        <v>98</v>
      </c>
      <c r="B25" s="2" t="s">
        <v>399</v>
      </c>
      <c r="C25" s="4">
        <f>46297.1188406394 + (VLOOKUP($B$1,TimeZones!$A$1:$C$28,2,FALSE))/24</f>
        <v>46297.410507306064</v>
      </c>
      <c r="D25" s="4">
        <f>46297.1557086912 + (VLOOKUP($B$1,TimeZones!$A$1:$C$28,2,FALSE))/24</f>
        <v>46297.447375357864</v>
      </c>
    </row>
    <row r="26" spans="1:4" x14ac:dyDescent="0.3">
      <c r="A26" s="2" t="s">
        <v>76</v>
      </c>
      <c r="B26" s="2" t="s">
        <v>407</v>
      </c>
      <c r="C26" s="4">
        <f>46297.1143329484 + (VLOOKUP($B$1,TimeZones!$A$1:$C$28,2,FALSE))/24</f>
        <v>46297.405999615061</v>
      </c>
      <c r="D26" s="4">
        <f>46297.1556643466 + (VLOOKUP($B$1,TimeZones!$A$1:$C$28,2,FALSE))/24</f>
        <v>46297.447331013267</v>
      </c>
    </row>
    <row r="27" spans="1:4" x14ac:dyDescent="0.3">
      <c r="A27" s="2" t="s">
        <v>56</v>
      </c>
      <c r="B27" s="2" t="s">
        <v>409</v>
      </c>
      <c r="C27" s="4">
        <f>46297.1629880818 + (VLOOKUP($B$1,TimeZones!$A$1:$C$28,2,FALSE))/24</f>
        <v>46297.454654748464</v>
      </c>
      <c r="D27" s="4">
        <f>46297.1962974206 + (VLOOKUP($B$1,TimeZones!$A$1:$C$28,2,FALSE))/24</f>
        <v>46297.487964087268</v>
      </c>
    </row>
    <row r="28" spans="1:4" x14ac:dyDescent="0.3">
      <c r="A28" s="2" t="s">
        <v>65</v>
      </c>
      <c r="B28" s="2" t="s">
        <v>419</v>
      </c>
      <c r="C28" s="4">
        <f>46297.1150980218 + (VLOOKUP($B$1,TimeZones!$A$1:$C$28,2,FALSE))/24</f>
        <v>46297.406764688465</v>
      </c>
      <c r="D28" s="4">
        <f>46297.1389454918 + (VLOOKUP($B$1,TimeZones!$A$1:$C$28,2,FALSE))/24</f>
        <v>46297.430612158467</v>
      </c>
    </row>
    <row r="29" spans="1:4" x14ac:dyDescent="0.3">
      <c r="A29" s="2" t="s">
        <v>69</v>
      </c>
      <c r="B29" s="2" t="s">
        <v>423</v>
      </c>
      <c r="C29" s="4">
        <f>46297.1182807438 + (VLOOKUP($B$1,TimeZones!$A$1:$C$28,2,FALSE))/24</f>
        <v>46297.409947410466</v>
      </c>
      <c r="D29" s="4">
        <f>46297.1537275739 + (VLOOKUP($B$1,TimeZones!$A$1:$C$28,2,FALSE))/24</f>
        <v>46297.445394240567</v>
      </c>
    </row>
    <row r="30" spans="1:4" x14ac:dyDescent="0.3">
      <c r="A30" s="2" t="s">
        <v>109</v>
      </c>
      <c r="B30" s="2" t="s">
        <v>430</v>
      </c>
      <c r="C30" s="4">
        <f>46297.118323293 + (VLOOKUP($B$1,TimeZones!$A$1:$C$28,2,FALSE))/24</f>
        <v>46297.409989959662</v>
      </c>
      <c r="D30" s="4">
        <f>46297.1571643032 + (VLOOKUP($B$1,TimeZones!$A$1:$C$28,2,FALSE))/24</f>
        <v>46297.448830969865</v>
      </c>
    </row>
    <row r="31" spans="1:4" x14ac:dyDescent="0.3">
      <c r="A31" s="2" t="s">
        <v>96</v>
      </c>
      <c r="B31" s="2" t="s">
        <v>432</v>
      </c>
      <c r="C31" s="4">
        <f>46297.118511005 + (VLOOKUP($B$1,TimeZones!$A$1:$C$28,2,FALSE))/24</f>
        <v>46297.410177671663</v>
      </c>
      <c r="D31" s="4">
        <f>46297.1550036595 + (VLOOKUP($B$1,TimeZones!$A$1:$C$28,2,FALSE))/24</f>
        <v>46297.446670326164</v>
      </c>
    </row>
    <row r="32" spans="1:4" x14ac:dyDescent="0.3">
      <c r="A32" s="2" t="s">
        <v>66</v>
      </c>
      <c r="B32" s="2" t="s">
        <v>446</v>
      </c>
      <c r="C32" s="4">
        <f>46297.0443957065 + (VLOOKUP($B$1,TimeZones!$A$1:$C$28,2,FALSE))/24</f>
        <v>46297.336062373164</v>
      </c>
      <c r="D32" s="4">
        <f>46297.1004603906 + (VLOOKUP($B$1,TimeZones!$A$1:$C$28,2,FALSE))/24</f>
        <v>46297.392127057261</v>
      </c>
    </row>
    <row r="33" spans="1:4" x14ac:dyDescent="0.3">
      <c r="A33" s="2" t="s">
        <v>57</v>
      </c>
      <c r="B33" s="2" t="s">
        <v>448</v>
      </c>
      <c r="C33" s="4">
        <f>46297.1137489268 + (VLOOKUP($B$1,TimeZones!$A$1:$C$28,2,FALSE))/24</f>
        <v>46297.405415593465</v>
      </c>
      <c r="D33" s="4">
        <f>46297.1530903002 + (VLOOKUP($B$1,TimeZones!$A$1:$C$28,2,FALSE))/24</f>
        <v>46297.444756966863</v>
      </c>
    </row>
    <row r="34" spans="1:4" x14ac:dyDescent="0.3">
      <c r="A34" s="2" t="s">
        <v>110</v>
      </c>
      <c r="B34" s="2" t="s">
        <v>456</v>
      </c>
      <c r="C34" s="4">
        <f>46297.1178950169 + (VLOOKUP($B$1,TimeZones!$A$1:$C$28,2,FALSE))/24</f>
        <v>46297.409561683562</v>
      </c>
      <c r="D34" s="4">
        <f>46297.1498685294 + (VLOOKUP($B$1,TimeZones!$A$1:$C$28,2,FALSE))/24</f>
        <v>46297.441535196063</v>
      </c>
    </row>
    <row r="35" spans="1:4" x14ac:dyDescent="0.3">
      <c r="A35" s="2" t="s">
        <v>64</v>
      </c>
      <c r="B35" s="2" t="s">
        <v>465</v>
      </c>
      <c r="C35" s="4">
        <f>46297.1136085692 + (VLOOKUP($B$1,TimeZones!$A$1:$C$28,2,FALSE))/24</f>
        <v>46297.405275235862</v>
      </c>
      <c r="D35" s="4">
        <f>46297.1560843809 + (VLOOKUP($B$1,TimeZones!$A$1:$C$28,2,FALSE))/24</f>
        <v>46297.447751047563</v>
      </c>
    </row>
    <row r="36" spans="1:4" x14ac:dyDescent="0.3">
      <c r="A36" s="2" t="s">
        <v>71</v>
      </c>
      <c r="B36" s="2" t="s">
        <v>466</v>
      </c>
      <c r="C36" s="4">
        <f>46297.1177463512 + (VLOOKUP($B$1,TimeZones!$A$1:$C$28,2,FALSE))/24</f>
        <v>46297.409413017864</v>
      </c>
      <c r="D36" s="4">
        <f>46297.1410027466 + (VLOOKUP($B$1,TimeZones!$A$1:$C$28,2,FALSE))/24</f>
        <v>46297.432669413261</v>
      </c>
    </row>
    <row r="37" spans="1:4" x14ac:dyDescent="0.3">
      <c r="A37" s="2" t="s">
        <v>61</v>
      </c>
      <c r="B37" s="2" t="s">
        <v>470</v>
      </c>
      <c r="C37" s="4">
        <f>46297.1187361534 + (VLOOKUP($B$1,TimeZones!$A$1:$C$28,2,FALSE))/24</f>
        <v>46297.410402820067</v>
      </c>
      <c r="D37" s="4">
        <f>46297.15531974 + (VLOOKUP($B$1,TimeZones!$A$1:$C$28,2,FALSE))/24</f>
        <v>46297.446986406663</v>
      </c>
    </row>
    <row r="38" spans="1:4" x14ac:dyDescent="0.3">
      <c r="A38" s="2" t="s">
        <v>102</v>
      </c>
      <c r="B38" s="2" t="s">
        <v>485</v>
      </c>
      <c r="C38" s="4">
        <f>46297.1192547252 + (VLOOKUP($B$1,TimeZones!$A$1:$C$28,2,FALSE))/24</f>
        <v>46297.410921391864</v>
      </c>
      <c r="D38" s="4">
        <f>46297.1558788693 + (VLOOKUP($B$1,TimeZones!$A$1:$C$28,2,FALSE))/24</f>
        <v>46297.447545535964</v>
      </c>
    </row>
    <row r="39" spans="1:4" x14ac:dyDescent="0.3">
      <c r="A39" s="2" t="s">
        <v>82</v>
      </c>
      <c r="B39" s="2" t="s">
        <v>486</v>
      </c>
      <c r="C39" s="4">
        <f>46297.1182441724 + (VLOOKUP($B$1,TimeZones!$A$1:$C$28,2,FALSE))/24</f>
        <v>46297.409910839066</v>
      </c>
      <c r="D39" s="4">
        <f>46297.1563999169 + (VLOOKUP($B$1,TimeZones!$A$1:$C$28,2,FALSE))/24</f>
        <v>46297.448066583565</v>
      </c>
    </row>
    <row r="40" spans="1:4" x14ac:dyDescent="0.3">
      <c r="A40" s="2" t="s">
        <v>95</v>
      </c>
      <c r="B40" s="2" t="s">
        <v>489</v>
      </c>
      <c r="C40" s="4">
        <f>46297.1188432501 + (VLOOKUP($B$1,TimeZones!$A$1:$C$28,2,FALSE))/24</f>
        <v>46297.410509916765</v>
      </c>
      <c r="D40" s="4">
        <f>46297.1545666206 + (VLOOKUP($B$1,TimeZones!$A$1:$C$28,2,FALSE))/24</f>
        <v>46297.446233287264</v>
      </c>
    </row>
    <row r="41" spans="1:4" x14ac:dyDescent="0.3">
      <c r="A41" s="2" t="s">
        <v>92</v>
      </c>
      <c r="B41" s="2" t="s">
        <v>492</v>
      </c>
      <c r="C41" s="4">
        <f>46297.1196369087 + (VLOOKUP($B$1,TimeZones!$A$1:$C$28,2,FALSE))/24</f>
        <v>46297.411303575362</v>
      </c>
      <c r="D41" s="4">
        <f>46297.1821369087 + (VLOOKUP($B$1,TimeZones!$A$1:$C$28,2,FALSE))/24</f>
        <v>46297.473803575362</v>
      </c>
    </row>
    <row r="42" spans="1:4" x14ac:dyDescent="0.3">
      <c r="A42" s="2" t="s">
        <v>100</v>
      </c>
      <c r="B42" s="2" t="s">
        <v>495</v>
      </c>
      <c r="C42" s="4">
        <f>46297.114031897 + (VLOOKUP($B$1,TimeZones!$A$1:$C$28,2,FALSE))/24</f>
        <v>46297.405698563663</v>
      </c>
      <c r="D42" s="4">
        <f>46297.1510218911 + (VLOOKUP($B$1,TimeZones!$A$1:$C$28,2,FALSE))/24</f>
        <v>46297.442688557763</v>
      </c>
    </row>
    <row r="43" spans="1:4" x14ac:dyDescent="0.3">
      <c r="A43" s="2" t="s">
        <v>108</v>
      </c>
      <c r="B43" s="2" t="s">
        <v>497</v>
      </c>
      <c r="C43" s="4">
        <f>46297.1144510779 + (VLOOKUP($B$1,TimeZones!$A$1:$C$28,2,FALSE))/24</f>
        <v>46297.406117744664</v>
      </c>
      <c r="D43" s="4">
        <f>46297.1635313797 + (VLOOKUP($B$1,TimeZones!$A$1:$C$28,2,FALSE))/24</f>
        <v>46297.455198046366</v>
      </c>
    </row>
    <row r="44" spans="1:4" x14ac:dyDescent="0.3">
      <c r="A44" s="2" t="s">
        <v>58</v>
      </c>
      <c r="B44" s="2" t="s">
        <v>502</v>
      </c>
      <c r="C44" s="4">
        <f>46297.1182097892 + (VLOOKUP($B$1,TimeZones!$A$1:$C$28,2,FALSE))/24</f>
        <v>46297.409876455866</v>
      </c>
      <c r="D44" s="4">
        <f>46297.1470841622 + (VLOOKUP($B$1,TimeZones!$A$1:$C$28,2,FALSE))/24</f>
        <v>46297.438750828864</v>
      </c>
    </row>
    <row r="45" spans="1:4" x14ac:dyDescent="0.3">
      <c r="A45" s="2" t="s">
        <v>105</v>
      </c>
      <c r="B45" s="2" t="s">
        <v>511</v>
      </c>
      <c r="C45" s="4">
        <f>46297.0441424408 + (VLOOKUP($B$1,TimeZones!$A$1:$C$28,2,FALSE))/24</f>
        <v>46297.335809107462</v>
      </c>
      <c r="D45" s="4">
        <f>46297.1008960984 + (VLOOKUP($B$1,TimeZones!$A$1:$C$28,2,FALSE))/24</f>
        <v>46297.392562765068</v>
      </c>
    </row>
    <row r="46" spans="1:4" x14ac:dyDescent="0.3">
      <c r="A46" s="2" t="s">
        <v>94</v>
      </c>
      <c r="B46" s="2" t="s">
        <v>514</v>
      </c>
      <c r="C46" s="4">
        <f>46297.1149347053 + (VLOOKUP($B$1,TimeZones!$A$1:$C$28,2,FALSE))/24</f>
        <v>46297.406601371964</v>
      </c>
      <c r="D46" s="4">
        <f>46297.1661292215 + (VLOOKUP($B$1,TimeZones!$A$1:$C$28,2,FALSE))/24</f>
        <v>46297.457795888164</v>
      </c>
    </row>
    <row r="47" spans="1:4" x14ac:dyDescent="0.3">
      <c r="A47" s="2" t="s">
        <v>93</v>
      </c>
      <c r="B47" s="2" t="s">
        <v>521</v>
      </c>
      <c r="C47" s="4">
        <f>46297.11848736 + (VLOOKUP($B$1,TimeZones!$A$1:$C$28,2,FALSE))/24</f>
        <v>46297.410154026664</v>
      </c>
      <c r="D47" s="4">
        <f>46297.1560528334 + (VLOOKUP($B$1,TimeZones!$A$1:$C$28,2,FALSE))/24</f>
        <v>46297.447719500065</v>
      </c>
    </row>
    <row r="48" spans="1:4" x14ac:dyDescent="0.3">
      <c r="A48" s="2" t="s">
        <v>99</v>
      </c>
      <c r="B48" s="2" t="s">
        <v>522</v>
      </c>
      <c r="C48" s="4">
        <f>46297.1194970221 + (VLOOKUP($B$1,TimeZones!$A$1:$C$28,2,FALSE))/24</f>
        <v>46297.411163688761</v>
      </c>
      <c r="D48" s="4">
        <f>46297.1549015056 + (VLOOKUP($B$1,TimeZones!$A$1:$C$28,2,FALSE))/24</f>
        <v>46297.446568172265</v>
      </c>
    </row>
    <row r="49" spans="1:4" x14ac:dyDescent="0.3">
      <c r="A49" s="2" t="s">
        <v>91</v>
      </c>
      <c r="B49" s="2" t="s">
        <v>527</v>
      </c>
      <c r="C49" s="4">
        <f>46297.0418782025 + (VLOOKUP($B$1,TimeZones!$A$1:$C$28,2,FALSE))/24</f>
        <v>46297.333544869165</v>
      </c>
      <c r="D49" s="4">
        <f>46297.1006165433 + (VLOOKUP($B$1,TimeZones!$A$1:$C$28,2,FALSE))/24</f>
        <v>46297.392283209963</v>
      </c>
    </row>
    <row r="50" spans="1:4" x14ac:dyDescent="0.3">
      <c r="A50" s="2" t="s">
        <v>81</v>
      </c>
      <c r="B50" s="2" t="s">
        <v>552</v>
      </c>
      <c r="C50" s="4">
        <f>46297.1187345263 + (VLOOKUP($B$1,TimeZones!$A$1:$C$28,2,FALSE))/24</f>
        <v>46297.410401192967</v>
      </c>
      <c r="D50" s="4">
        <f>46297.1521181727 + (VLOOKUP($B$1,TimeZones!$A$1:$C$28,2,FALSE))/24</f>
        <v>46297.443784839365</v>
      </c>
    </row>
    <row r="51" spans="1:4" x14ac:dyDescent="0.3">
      <c r="A51" s="2" t="s">
        <v>88</v>
      </c>
      <c r="B51" s="2" t="s">
        <v>563</v>
      </c>
      <c r="C51" s="4">
        <f>46297.1187236962 + (VLOOKUP($B$1,TimeZones!$A$1:$C$28,2,FALSE))/24</f>
        <v>46297.410390362864</v>
      </c>
      <c r="D51" s="4">
        <f>46297.1512507446 + (VLOOKUP($B$1,TimeZones!$A$1:$C$28,2,FALSE))/24</f>
        <v>46297.442917411267</v>
      </c>
    </row>
    <row r="52" spans="1:4" x14ac:dyDescent="0.3">
      <c r="A52" s="2" t="s">
        <v>77</v>
      </c>
      <c r="B52" s="2" t="s">
        <v>564</v>
      </c>
      <c r="C52" s="4">
        <f>46297.0424902169 + (VLOOKUP($B$1,TimeZones!$A$1:$C$28,2,FALSE))/24</f>
        <v>46297.334156883568</v>
      </c>
      <c r="D52" s="4">
        <f>46297.095541326 + (VLOOKUP($B$1,TimeZones!$A$1:$C$28,2,FALSE))/24</f>
        <v>46297.387207992666</v>
      </c>
    </row>
    <row r="53" spans="1:4" x14ac:dyDescent="0.3">
      <c r="A53" s="2" t="s">
        <v>106</v>
      </c>
      <c r="B53" s="2" t="s">
        <v>569</v>
      </c>
      <c r="C53" s="4">
        <f>46297.1179999081 + (VLOOKUP($B$1,TimeZones!$A$1:$C$28,2,FALSE))/24</f>
        <v>46297.409666574764</v>
      </c>
      <c r="D53" s="4">
        <f>46297.1553425664 + (VLOOKUP($B$1,TimeZones!$A$1:$C$28,2,FALSE))/24</f>
        <v>46297.447009233067</v>
      </c>
    </row>
    <row r="54" spans="1:4" x14ac:dyDescent="0.3">
      <c r="A54" s="2" t="s">
        <v>97</v>
      </c>
      <c r="B54" s="2" t="s">
        <v>572</v>
      </c>
      <c r="C54" s="4">
        <f>46297.1185021498 + (VLOOKUP($B$1,TimeZones!$A$1:$C$28,2,FALSE))/24</f>
        <v>46297.410168816466</v>
      </c>
      <c r="D54" s="4">
        <f>46297.1553055438 + (VLOOKUP($B$1,TimeZones!$A$1:$C$28,2,FALSE))/24</f>
        <v>46297.446972210462</v>
      </c>
    </row>
    <row r="55" spans="1:4" x14ac:dyDescent="0.3">
      <c r="A55" s="2" t="s">
        <v>80</v>
      </c>
      <c r="B55" s="2" t="s">
        <v>580</v>
      </c>
      <c r="C55" s="4">
        <f>46297.1188129371 + (VLOOKUP($B$1,TimeZones!$A$1:$C$28,2,FALSE))/24</f>
        <v>46297.410479603765</v>
      </c>
      <c r="D55" s="4">
        <f>46297.1509162158 + (VLOOKUP($B$1,TimeZones!$A$1:$C$28,2,FALSE))/24</f>
        <v>46297.442582882468</v>
      </c>
    </row>
    <row r="56" spans="1:4" x14ac:dyDescent="0.3">
      <c r="A56" s="2" t="s">
        <v>60</v>
      </c>
      <c r="B56" s="2" t="s">
        <v>583</v>
      </c>
      <c r="C56" s="4">
        <f>46297.1153149584 + (VLOOKUP($B$1,TimeZones!$A$1:$C$28,2,FALSE))/24</f>
        <v>46297.406981625063</v>
      </c>
      <c r="D56" s="4">
        <f>46297.1720974561 + (VLOOKUP($B$1,TimeZones!$A$1:$C$28,2,FALSE))/24</f>
        <v>46297.463764122767</v>
      </c>
    </row>
    <row r="57" spans="1:4" x14ac:dyDescent="0.3">
      <c r="A57" s="2" t="s">
        <v>79</v>
      </c>
      <c r="B57" s="2" t="s">
        <v>584</v>
      </c>
      <c r="C57" s="4">
        <f>46297.1154025108 + (VLOOKUP($B$1,TimeZones!$A$1:$C$28,2,FALSE))/24</f>
        <v>46297.407069177461</v>
      </c>
      <c r="D57" s="4">
        <f>46297.1779025108 + (VLOOKUP($B$1,TimeZones!$A$1:$C$28,2,FALSE))/24</f>
        <v>46297.469569177461</v>
      </c>
    </row>
    <row r="58" spans="1:4" x14ac:dyDescent="0.3">
      <c r="A58" s="2" t="s">
        <v>86</v>
      </c>
      <c r="B58" s="2" t="s">
        <v>590</v>
      </c>
      <c r="C58" s="4">
        <f>46297.0424880123 + (VLOOKUP($B$1,TimeZones!$A$1:$C$28,2,FALSE))/24</f>
        <v>46297.334154678967</v>
      </c>
      <c r="D58" s="4">
        <f>46297.0847458172 + (VLOOKUP($B$1,TimeZones!$A$1:$C$28,2,FALSE))/24</f>
        <v>46297.376412483864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46.44140625" customWidth="1"/>
  </cols>
  <sheetData>
    <row r="1" spans="1:4" x14ac:dyDescent="0.3">
      <c r="A1" s="1" t="s">
        <v>562</v>
      </c>
      <c r="B1" s="2" t="s">
        <v>461</v>
      </c>
    </row>
    <row r="3" spans="1:4" x14ac:dyDescent="0.3">
      <c r="A3" s="1" t="s">
        <v>389</v>
      </c>
      <c r="B3" s="1" t="s">
        <v>549</v>
      </c>
      <c r="C3" s="1" t="str">
        <f>"Время начала сессии (" &amp; VLOOKUP($B$1,TimeZones!$A$1:$C$28,3,FALSE) &amp; ")"</f>
        <v>Время начала сессии (Новосибирск)</v>
      </c>
      <c r="D3" s="1" t="str">
        <f>"Время конца сессии (" &amp; VLOOKUP($B$1,TimeZones!$A$1:$C$28,3,FALSE) &amp; ")"</f>
        <v>Время конца сессии (Новосибирск)</v>
      </c>
    </row>
    <row r="4" spans="1:4" x14ac:dyDescent="0.3">
      <c r="A4" s="2" t="s">
        <v>126</v>
      </c>
      <c r="B4" s="2" t="s">
        <v>286</v>
      </c>
      <c r="C4" s="4">
        <f>46297.0799177667 + (VLOOKUP($B$1,TimeZones!$A$1:$C$28,2,FALSE))/24</f>
        <v>46297.371584433364</v>
      </c>
      <c r="D4" s="4">
        <f>46297.1291146385 + (VLOOKUP($B$1,TimeZones!$A$1:$C$28,2,FALSE))/24</f>
        <v>46297.420781305162</v>
      </c>
    </row>
    <row r="5" spans="1:4" x14ac:dyDescent="0.3">
      <c r="A5" s="2" t="s">
        <v>119</v>
      </c>
      <c r="B5" s="2" t="s">
        <v>288</v>
      </c>
      <c r="C5" s="4">
        <f>46297.0799149499 + (VLOOKUP($B$1,TimeZones!$A$1:$C$28,2,FALSE))/24</f>
        <v>46297.371581616564</v>
      </c>
      <c r="D5" s="4">
        <f>46297.1200484242 + (VLOOKUP($B$1,TimeZones!$A$1:$C$28,2,FALSE))/24</f>
        <v>46297.411715090864</v>
      </c>
    </row>
    <row r="6" spans="1:4" x14ac:dyDescent="0.3">
      <c r="A6" s="2" t="s">
        <v>113</v>
      </c>
      <c r="B6" s="2" t="s">
        <v>290</v>
      </c>
      <c r="C6" s="4">
        <f>46297.0795021386 + (VLOOKUP($B$1,TimeZones!$A$1:$C$28,2,FALSE))/24</f>
        <v>46297.371168805264</v>
      </c>
      <c r="D6" s="4">
        <f>46297.1162459148 + (VLOOKUP($B$1,TimeZones!$A$1:$C$28,2,FALSE))/24</f>
        <v>46297.407912581468</v>
      </c>
    </row>
    <row r="7" spans="1:4" x14ac:dyDescent="0.3">
      <c r="A7" s="2" t="s">
        <v>114</v>
      </c>
      <c r="B7" s="2" t="s">
        <v>297</v>
      </c>
      <c r="C7" s="4">
        <f>46297.0450614636 + (VLOOKUP($B$1,TimeZones!$A$1:$C$28,2,FALSE))/24</f>
        <v>46297.336728130264</v>
      </c>
      <c r="D7" s="4">
        <f>46297.078398281 + (VLOOKUP($B$1,TimeZones!$A$1:$C$28,2,FALSE))/24</f>
        <v>46297.370064947667</v>
      </c>
    </row>
    <row r="8" spans="1:4" x14ac:dyDescent="0.3">
      <c r="A8" s="2" t="s">
        <v>146</v>
      </c>
      <c r="B8" s="2" t="s">
        <v>301</v>
      </c>
      <c r="C8" s="4">
        <f>46297.0801194533 + (VLOOKUP($B$1,TimeZones!$A$1:$C$28,2,FALSE))/24</f>
        <v>46297.371786119962</v>
      </c>
      <c r="D8" s="4">
        <f>46297.1420178821 + (VLOOKUP($B$1,TimeZones!$A$1:$C$28,2,FALSE))/24</f>
        <v>46297.433684548763</v>
      </c>
    </row>
    <row r="9" spans="1:4" x14ac:dyDescent="0.3">
      <c r="A9" s="2" t="s">
        <v>158</v>
      </c>
      <c r="B9" s="2" t="s">
        <v>307</v>
      </c>
      <c r="C9" s="4">
        <f>46297.0819788464 + (VLOOKUP($B$1,TimeZones!$A$1:$C$28,2,FALSE))/24</f>
        <v>46297.373645513064</v>
      </c>
      <c r="D9" s="4">
        <f>46297.1182549185 + (VLOOKUP($B$1,TimeZones!$A$1:$C$28,2,FALSE))/24</f>
        <v>46297.409921585167</v>
      </c>
    </row>
    <row r="10" spans="1:4" x14ac:dyDescent="0.3">
      <c r="A10" s="2" t="s">
        <v>156</v>
      </c>
      <c r="B10" s="2" t="s">
        <v>308</v>
      </c>
      <c r="C10" s="4">
        <f>46297.0442876312 + (VLOOKUP($B$1,TimeZones!$A$1:$C$28,2,FALSE))/24</f>
        <v>46297.335954297865</v>
      </c>
      <c r="D10" s="4">
        <f>46297.082541716 + (VLOOKUP($B$1,TimeZones!$A$1:$C$28,2,FALSE))/24</f>
        <v>46297.374208382666</v>
      </c>
    </row>
    <row r="11" spans="1:4" x14ac:dyDescent="0.3">
      <c r="A11" s="2" t="s">
        <v>141</v>
      </c>
      <c r="B11" s="2" t="s">
        <v>319</v>
      </c>
      <c r="C11" s="4">
        <f>46297.0792129196 + (VLOOKUP($B$1,TimeZones!$A$1:$C$28,2,FALSE))/24</f>
        <v>46297.370879586262</v>
      </c>
      <c r="D11" s="4">
        <f>46297.1117717124 + (VLOOKUP($B$1,TimeZones!$A$1:$C$28,2,FALSE))/24</f>
        <v>46297.403438379064</v>
      </c>
    </row>
    <row r="12" spans="1:4" x14ac:dyDescent="0.3">
      <c r="A12" s="2" t="s">
        <v>127</v>
      </c>
      <c r="B12" s="2" t="s">
        <v>320</v>
      </c>
      <c r="C12" s="4">
        <f>46297.0799932128 + (VLOOKUP($B$1,TimeZones!$A$1:$C$28,2,FALSE))/24</f>
        <v>46297.371659879464</v>
      </c>
      <c r="D12" s="4">
        <f>46297.139177911 + (VLOOKUP($B$1,TimeZones!$A$1:$C$28,2,FALSE))/24</f>
        <v>46297.430844577662</v>
      </c>
    </row>
    <row r="13" spans="1:4" x14ac:dyDescent="0.3">
      <c r="A13" s="2" t="s">
        <v>166</v>
      </c>
      <c r="B13" s="2" t="s">
        <v>344</v>
      </c>
      <c r="C13" s="4">
        <f>46297.0491729841 + (VLOOKUP($B$1,TimeZones!$A$1:$C$28,2,FALSE))/24</f>
        <v>46297.340839650766</v>
      </c>
      <c r="D13" s="4">
        <f>46297.0673936553 + (VLOOKUP($B$1,TimeZones!$A$1:$C$28,2,FALSE))/24</f>
        <v>46297.359060321964</v>
      </c>
    </row>
    <row r="14" spans="1:4" x14ac:dyDescent="0.3">
      <c r="A14" s="2" t="s">
        <v>130</v>
      </c>
      <c r="B14" s="2" t="s">
        <v>345</v>
      </c>
      <c r="C14" s="4">
        <f>46297.0793187119 + (VLOOKUP($B$1,TimeZones!$A$1:$C$28,2,FALSE))/24</f>
        <v>46297.370985378562</v>
      </c>
      <c r="D14" s="4">
        <f>46297.1145275897 + (VLOOKUP($B$1,TimeZones!$A$1:$C$28,2,FALSE))/24</f>
        <v>46297.406194256364</v>
      </c>
    </row>
    <row r="15" spans="1:4" x14ac:dyDescent="0.3">
      <c r="A15" s="2" t="s">
        <v>125</v>
      </c>
      <c r="B15" s="2" t="s">
        <v>346</v>
      </c>
      <c r="C15" s="4">
        <f>46297.0793276073 + (VLOOKUP($B$1,TimeZones!$A$1:$C$28,2,FALSE))/24</f>
        <v>46297.370994273966</v>
      </c>
      <c r="D15" s="4">
        <f>46297.1121373621 + (VLOOKUP($B$1,TimeZones!$A$1:$C$28,2,FALSE))/24</f>
        <v>46297.403804028763</v>
      </c>
    </row>
    <row r="16" spans="1:4" x14ac:dyDescent="0.3">
      <c r="A16" s="2" t="s">
        <v>164</v>
      </c>
      <c r="B16" s="2" t="s">
        <v>355</v>
      </c>
      <c r="C16" s="4">
        <f>46297.0797387198 + (VLOOKUP($B$1,TimeZones!$A$1:$C$28,2,FALSE))/24</f>
        <v>46297.371405386468</v>
      </c>
      <c r="D16" s="4">
        <f>46297.1230186616 + (VLOOKUP($B$1,TimeZones!$A$1:$C$28,2,FALSE))/24</f>
        <v>46297.414685328265</v>
      </c>
    </row>
    <row r="17" spans="1:4" x14ac:dyDescent="0.3">
      <c r="A17" s="2" t="s">
        <v>147</v>
      </c>
      <c r="B17" s="2" t="s">
        <v>356</v>
      </c>
      <c r="C17" s="4">
        <f>46297.0793620843 + (VLOOKUP($B$1,TimeZones!$A$1:$C$28,2,FALSE))/24</f>
        <v>46297.371028750968</v>
      </c>
      <c r="D17" s="4">
        <f>46297.1143901977 + (VLOOKUP($B$1,TimeZones!$A$1:$C$28,2,FALSE))/24</f>
        <v>46297.406056864362</v>
      </c>
    </row>
    <row r="18" spans="1:4" x14ac:dyDescent="0.3">
      <c r="A18" s="2" t="s">
        <v>163</v>
      </c>
      <c r="B18" s="2" t="s">
        <v>359</v>
      </c>
      <c r="C18" s="4">
        <f>46297.050282522 + (VLOOKUP($B$1,TimeZones!$A$1:$C$28,2,FALSE))/24</f>
        <v>46297.341949188667</v>
      </c>
      <c r="D18" s="4">
        <f>46297.0804873635 + (VLOOKUP($B$1,TimeZones!$A$1:$C$28,2,FALSE))/24</f>
        <v>46297.372154030163</v>
      </c>
    </row>
    <row r="19" spans="1:4" x14ac:dyDescent="0.3">
      <c r="A19" s="2" t="s">
        <v>144</v>
      </c>
      <c r="B19" s="2" t="s">
        <v>363</v>
      </c>
      <c r="C19" s="4">
        <f>46297.0798229567 + (VLOOKUP($B$1,TimeZones!$A$1:$C$28,2,FALSE))/24</f>
        <v>46297.371489623365</v>
      </c>
      <c r="D19" s="4">
        <f>46297.123213626 + (VLOOKUP($B$1,TimeZones!$A$1:$C$28,2,FALSE))/24</f>
        <v>46297.414880292665</v>
      </c>
    </row>
    <row r="20" spans="1:4" x14ac:dyDescent="0.3">
      <c r="A20" s="2" t="s">
        <v>148</v>
      </c>
      <c r="B20" s="2" t="s">
        <v>365</v>
      </c>
      <c r="C20" s="4">
        <f>46297.0424001758 + (VLOOKUP($B$1,TimeZones!$A$1:$C$28,2,FALSE))/24</f>
        <v>46297.334066842464</v>
      </c>
      <c r="D20" s="4">
        <f>46297.1010949812 + (VLOOKUP($B$1,TimeZones!$A$1:$C$28,2,FALSE))/24</f>
        <v>46297.392761647861</v>
      </c>
    </row>
    <row r="21" spans="1:4" x14ac:dyDescent="0.3">
      <c r="A21" s="2" t="s">
        <v>160</v>
      </c>
      <c r="B21" s="2" t="s">
        <v>383</v>
      </c>
      <c r="C21" s="4">
        <f>46297.0419538255 + (VLOOKUP($B$1,TimeZones!$A$1:$C$28,2,FALSE))/24</f>
        <v>46297.333620492165</v>
      </c>
      <c r="D21" s="4">
        <f>46297.0806794961 + (VLOOKUP($B$1,TimeZones!$A$1:$C$28,2,FALSE))/24</f>
        <v>46297.372346162767</v>
      </c>
    </row>
    <row r="22" spans="1:4" x14ac:dyDescent="0.3">
      <c r="A22" s="2" t="s">
        <v>157</v>
      </c>
      <c r="B22" s="2" t="s">
        <v>384</v>
      </c>
      <c r="C22" s="4">
        <f>46297.0792005087 + (VLOOKUP($B$1,TimeZones!$A$1:$C$28,2,FALSE))/24</f>
        <v>46297.370867175363</v>
      </c>
      <c r="D22" s="4">
        <f>46297.1347242493 + (VLOOKUP($B$1,TimeZones!$A$1:$C$28,2,FALSE))/24</f>
        <v>46297.426390915964</v>
      </c>
    </row>
    <row r="23" spans="1:4" x14ac:dyDescent="0.3">
      <c r="A23" s="2" t="s">
        <v>139</v>
      </c>
      <c r="B23" s="2" t="s">
        <v>393</v>
      </c>
      <c r="C23" s="4">
        <f>46297.0791721901 + (VLOOKUP($B$1,TimeZones!$A$1:$C$28,2,FALSE))/24</f>
        <v>46297.370838856761</v>
      </c>
      <c r="D23" s="4">
        <f>46297.1156195444 + (VLOOKUP($B$1,TimeZones!$A$1:$C$28,2,FALSE))/24</f>
        <v>46297.407286211062</v>
      </c>
    </row>
    <row r="24" spans="1:4" x14ac:dyDescent="0.3">
      <c r="A24" s="2" t="s">
        <v>118</v>
      </c>
      <c r="B24" s="2" t="s">
        <v>398</v>
      </c>
      <c r="C24" s="4">
        <f>46297.0793725775 + (VLOOKUP($B$1,TimeZones!$A$1:$C$28,2,FALSE))/24</f>
        <v>46297.371039244164</v>
      </c>
      <c r="D24" s="4">
        <f>46297.111728187 + (VLOOKUP($B$1,TimeZones!$A$1:$C$28,2,FALSE))/24</f>
        <v>46297.403394853667</v>
      </c>
    </row>
    <row r="25" spans="1:4" x14ac:dyDescent="0.3">
      <c r="A25" s="2" t="s">
        <v>111</v>
      </c>
      <c r="B25" s="2" t="s">
        <v>401</v>
      </c>
      <c r="C25" s="4">
        <f>46297.0798980459 + (VLOOKUP($B$1,TimeZones!$A$1:$C$28,2,FALSE))/24</f>
        <v>46297.371564712565</v>
      </c>
      <c r="D25" s="4">
        <f>46297.1371161036 + (VLOOKUP($B$1,TimeZones!$A$1:$C$28,2,FALSE))/24</f>
        <v>46297.428782770265</v>
      </c>
    </row>
    <row r="26" spans="1:4" x14ac:dyDescent="0.3">
      <c r="A26" s="2" t="s">
        <v>134</v>
      </c>
      <c r="B26" s="2" t="s">
        <v>413</v>
      </c>
      <c r="C26" s="4">
        <f>46297.0813054503 + (VLOOKUP($B$1,TimeZones!$A$1:$C$28,2,FALSE))/24</f>
        <v>46297.372972116966</v>
      </c>
      <c r="D26" s="4">
        <f>46297.1095969306 + (VLOOKUP($B$1,TimeZones!$A$1:$C$28,2,FALSE))/24</f>
        <v>46297.401263597261</v>
      </c>
    </row>
    <row r="27" spans="1:4" x14ac:dyDescent="0.3">
      <c r="A27" s="2" t="s">
        <v>150</v>
      </c>
      <c r="B27" s="2" t="s">
        <v>415</v>
      </c>
      <c r="C27" s="4">
        <f>46297.0417916181 + (VLOOKUP($B$1,TimeZones!$A$1:$C$28,2,FALSE))/24</f>
        <v>46297.333458284767</v>
      </c>
      <c r="D27" s="4">
        <f>46297.0717015754 + (VLOOKUP($B$1,TimeZones!$A$1:$C$28,2,FALSE))/24</f>
        <v>46297.363368242062</v>
      </c>
    </row>
    <row r="28" spans="1:4" x14ac:dyDescent="0.3">
      <c r="A28" s="2" t="s">
        <v>133</v>
      </c>
      <c r="B28" s="2" t="s">
        <v>418</v>
      </c>
      <c r="C28" s="4">
        <f>46297.0788402222 + (VLOOKUP($B$1,TimeZones!$A$1:$C$28,2,FALSE))/24</f>
        <v>46297.370506888867</v>
      </c>
      <c r="D28" s="4">
        <f>46297.1027900894 + (VLOOKUP($B$1,TimeZones!$A$1:$C$28,2,FALSE))/24</f>
        <v>46297.394456756061</v>
      </c>
    </row>
    <row r="29" spans="1:4" x14ac:dyDescent="0.3">
      <c r="A29" s="2" t="s">
        <v>132</v>
      </c>
      <c r="B29" s="2" t="s">
        <v>422</v>
      </c>
      <c r="C29" s="4">
        <f>46297.0799980608 + (VLOOKUP($B$1,TimeZones!$A$1:$C$28,2,FALSE))/24</f>
        <v>46297.371664727463</v>
      </c>
      <c r="D29" s="4">
        <f>46297.118720423 + (VLOOKUP($B$1,TimeZones!$A$1:$C$28,2,FALSE))/24</f>
        <v>46297.410387089665</v>
      </c>
    </row>
    <row r="30" spans="1:4" x14ac:dyDescent="0.3">
      <c r="A30" s="2" t="s">
        <v>155</v>
      </c>
      <c r="B30" s="2" t="s">
        <v>433</v>
      </c>
      <c r="C30" s="4">
        <f>46297.0803740395 + (VLOOKUP($B$1,TimeZones!$A$1:$C$28,2,FALSE))/24</f>
        <v>46297.372040706163</v>
      </c>
      <c r="D30" s="4">
        <f>46297.1035946096 + (VLOOKUP($B$1,TimeZones!$A$1:$C$28,2,FALSE))/24</f>
        <v>46297.395261276266</v>
      </c>
    </row>
    <row r="31" spans="1:4" x14ac:dyDescent="0.3">
      <c r="A31" s="2" t="s">
        <v>151</v>
      </c>
      <c r="B31" s="2" t="s">
        <v>443</v>
      </c>
      <c r="C31" s="4">
        <f>46297.0793152905 + (VLOOKUP($B$1,TimeZones!$A$1:$C$28,2,FALSE))/24</f>
        <v>46297.370981957167</v>
      </c>
      <c r="D31" s="4">
        <f>46297.1146323696 + (VLOOKUP($B$1,TimeZones!$A$1:$C$28,2,FALSE))/24</f>
        <v>46297.406299036265</v>
      </c>
    </row>
    <row r="32" spans="1:4" x14ac:dyDescent="0.3">
      <c r="A32" s="2" t="s">
        <v>153</v>
      </c>
      <c r="B32" s="2" t="s">
        <v>447</v>
      </c>
      <c r="C32" s="4">
        <f>46297.0805809018 + (VLOOKUP($B$1,TimeZones!$A$1:$C$28,2,FALSE))/24</f>
        <v>46297.372247568463</v>
      </c>
      <c r="D32" s="4">
        <f>46297.1110125488 + (VLOOKUP($B$1,TimeZones!$A$1:$C$28,2,FALSE))/24</f>
        <v>46297.402679215462</v>
      </c>
    </row>
    <row r="33" spans="1:4" x14ac:dyDescent="0.3">
      <c r="A33" s="2" t="s">
        <v>159</v>
      </c>
      <c r="B33" s="2" t="s">
        <v>452</v>
      </c>
      <c r="C33" s="4">
        <f>46297.0793900067 + (VLOOKUP($B$1,TimeZones!$A$1:$C$28,2,FALSE))/24</f>
        <v>46297.371056673364</v>
      </c>
      <c r="D33" s="4">
        <f>46297.1209550104 + (VLOOKUP($B$1,TimeZones!$A$1:$C$28,2,FALSE))/24</f>
        <v>46297.412621677067</v>
      </c>
    </row>
    <row r="34" spans="1:4" x14ac:dyDescent="0.3">
      <c r="A34" s="2" t="s">
        <v>165</v>
      </c>
      <c r="B34" s="2" t="s">
        <v>453</v>
      </c>
      <c r="C34" s="4">
        <f>46297.0807308639 + (VLOOKUP($B$1,TimeZones!$A$1:$C$28,2,FALSE))/24</f>
        <v>46297.372397530562</v>
      </c>
      <c r="D34" s="4">
        <f>46297.1289735335 + (VLOOKUP($B$1,TimeZones!$A$1:$C$28,2,FALSE))/24</f>
        <v>46297.420640200166</v>
      </c>
    </row>
    <row r="35" spans="1:4" x14ac:dyDescent="0.3">
      <c r="A35" s="2" t="s">
        <v>154</v>
      </c>
      <c r="B35" s="2" t="s">
        <v>455</v>
      </c>
      <c r="C35" s="4">
        <f>46297.0792790083 + (VLOOKUP($B$1,TimeZones!$A$1:$C$28,2,FALSE))/24</f>
        <v>46297.370945674964</v>
      </c>
      <c r="D35" s="4">
        <f>46297.1047751254 + (VLOOKUP($B$1,TimeZones!$A$1:$C$28,2,FALSE))/24</f>
        <v>46297.396441792065</v>
      </c>
    </row>
    <row r="36" spans="1:4" x14ac:dyDescent="0.3">
      <c r="A36" s="2" t="s">
        <v>136</v>
      </c>
      <c r="B36" s="2" t="s">
        <v>468</v>
      </c>
      <c r="C36" s="4">
        <f>46297.0791402628 + (VLOOKUP($B$1,TimeZones!$A$1:$C$28,2,FALSE))/24</f>
        <v>46297.370806929466</v>
      </c>
      <c r="D36" s="4">
        <f>46297.1016882794 + (VLOOKUP($B$1,TimeZones!$A$1:$C$28,2,FALSE))/24</f>
        <v>46297.393354946063</v>
      </c>
    </row>
    <row r="37" spans="1:4" x14ac:dyDescent="0.3">
      <c r="A37" s="2" t="s">
        <v>138</v>
      </c>
      <c r="B37" s="2" t="s">
        <v>469</v>
      </c>
      <c r="C37" s="4">
        <f>46297.0804938101 + (VLOOKUP($B$1,TimeZones!$A$1:$C$28,2,FALSE))/24</f>
        <v>46297.372160476763</v>
      </c>
      <c r="D37" s="4">
        <f>46297.1255834384 + (VLOOKUP($B$1,TimeZones!$A$1:$C$28,2,FALSE))/24</f>
        <v>46297.417250105063</v>
      </c>
    </row>
    <row r="38" spans="1:4" x14ac:dyDescent="0.3">
      <c r="A38" s="2" t="s">
        <v>149</v>
      </c>
      <c r="B38" s="2" t="s">
        <v>471</v>
      </c>
      <c r="C38" s="4">
        <f>46297.0789817894 + (VLOOKUP($B$1,TimeZones!$A$1:$C$28,2,FALSE))/24</f>
        <v>46297.370648456061</v>
      </c>
      <c r="D38" s="4">
        <f>46297.1243676781 + (VLOOKUP($B$1,TimeZones!$A$1:$C$28,2,FALSE))/24</f>
        <v>46297.416034344766</v>
      </c>
    </row>
    <row r="39" spans="1:4" x14ac:dyDescent="0.3">
      <c r="A39" s="2" t="s">
        <v>161</v>
      </c>
      <c r="B39" s="2" t="s">
        <v>473</v>
      </c>
      <c r="C39" s="4">
        <f>46297.0419541336 + (VLOOKUP($B$1,TimeZones!$A$1:$C$28,2,FALSE))/24</f>
        <v>46297.333620800266</v>
      </c>
      <c r="D39" s="4">
        <f>46297.0943389633 + (VLOOKUP($B$1,TimeZones!$A$1:$C$28,2,FALSE))/24</f>
        <v>46297.386005629967</v>
      </c>
    </row>
    <row r="40" spans="1:4" x14ac:dyDescent="0.3">
      <c r="A40" s="2" t="s">
        <v>128</v>
      </c>
      <c r="B40" s="2" t="s">
        <v>478</v>
      </c>
      <c r="C40" s="4">
        <f>46297.0799711263 + (VLOOKUP($B$1,TimeZones!$A$1:$C$28,2,FALSE))/24</f>
        <v>46297.371637792967</v>
      </c>
      <c r="D40" s="4">
        <f>46297.1215417684 + (VLOOKUP($B$1,TimeZones!$A$1:$C$28,2,FALSE))/24</f>
        <v>46297.413208435064</v>
      </c>
    </row>
    <row r="41" spans="1:4" x14ac:dyDescent="0.3">
      <c r="A41" s="2" t="s">
        <v>140</v>
      </c>
      <c r="B41" s="2" t="s">
        <v>487</v>
      </c>
      <c r="C41" s="4">
        <f>46297.0795683336 + (VLOOKUP($B$1,TimeZones!$A$1:$C$28,2,FALSE))/24</f>
        <v>46297.371235000261</v>
      </c>
      <c r="D41" s="4">
        <f>46297.1357981713 + (VLOOKUP($B$1,TimeZones!$A$1:$C$28,2,FALSE))/24</f>
        <v>46297.427464837965</v>
      </c>
    </row>
    <row r="42" spans="1:4" x14ac:dyDescent="0.3">
      <c r="A42" s="2" t="s">
        <v>129</v>
      </c>
      <c r="B42" s="2" t="s">
        <v>500</v>
      </c>
      <c r="C42" s="4">
        <f>46297.0809786618 + (VLOOKUP($B$1,TimeZones!$A$1:$C$28,2,FALSE))/24</f>
        <v>46297.372645328462</v>
      </c>
      <c r="D42" s="4">
        <f>46297.1248041037 + (VLOOKUP($B$1,TimeZones!$A$1:$C$28,2,FALSE))/24</f>
        <v>46297.416470770368</v>
      </c>
    </row>
    <row r="43" spans="1:4" x14ac:dyDescent="0.3">
      <c r="A43" s="2" t="s">
        <v>142</v>
      </c>
      <c r="B43" s="2" t="s">
        <v>510</v>
      </c>
      <c r="C43" s="4">
        <f>46297.0799761405 + (VLOOKUP($B$1,TimeZones!$A$1:$C$28,2,FALSE))/24</f>
        <v>46297.371642807164</v>
      </c>
      <c r="D43" s="4">
        <f>46297.123986744 + (VLOOKUP($B$1,TimeZones!$A$1:$C$28,2,FALSE))/24</f>
        <v>46297.415653410666</v>
      </c>
    </row>
    <row r="44" spans="1:4" x14ac:dyDescent="0.3">
      <c r="A44" s="2" t="s">
        <v>135</v>
      </c>
      <c r="B44" s="2" t="s">
        <v>512</v>
      </c>
      <c r="C44" s="4">
        <f>46297.0495532261 + (VLOOKUP($B$1,TimeZones!$A$1:$C$28,2,FALSE))/24</f>
        <v>46297.341219892762</v>
      </c>
      <c r="D44" s="4">
        <f>46297.0666655002 + (VLOOKUP($B$1,TimeZones!$A$1:$C$28,2,FALSE))/24</f>
        <v>46297.358332166863</v>
      </c>
    </row>
    <row r="45" spans="1:4" x14ac:dyDescent="0.3">
      <c r="A45" s="2" t="s">
        <v>116</v>
      </c>
      <c r="B45" s="2" t="s">
        <v>523</v>
      </c>
      <c r="C45" s="4">
        <f>46297.07917452 + (VLOOKUP($B$1,TimeZones!$A$1:$C$28,2,FALSE))/24</f>
        <v>46297.370841186661</v>
      </c>
      <c r="D45" s="4">
        <f>46297.1166874812 + (VLOOKUP($B$1,TimeZones!$A$1:$C$28,2,FALSE))/24</f>
        <v>46297.408354147861</v>
      </c>
    </row>
    <row r="46" spans="1:4" x14ac:dyDescent="0.3">
      <c r="A46" s="2" t="s">
        <v>162</v>
      </c>
      <c r="B46" s="2" t="s">
        <v>529</v>
      </c>
      <c r="C46" s="4">
        <f>46297.0791619823 + (VLOOKUP($B$1,TimeZones!$A$1:$C$28,2,FALSE))/24</f>
        <v>46297.370828648964</v>
      </c>
      <c r="D46" s="4">
        <f>46297.1052508841 + (VLOOKUP($B$1,TimeZones!$A$1:$C$28,2,FALSE))/24</f>
        <v>46297.396917550766</v>
      </c>
    </row>
    <row r="47" spans="1:4" x14ac:dyDescent="0.3">
      <c r="A47" s="2" t="s">
        <v>115</v>
      </c>
      <c r="B47" s="2" t="s">
        <v>530</v>
      </c>
      <c r="C47" s="4">
        <f>46297.0794408746 + (VLOOKUP($B$1,TimeZones!$A$1:$C$28,2,FALSE))/24</f>
        <v>46297.371107541265</v>
      </c>
      <c r="D47" s="4">
        <f>46297.1081597082 + (VLOOKUP($B$1,TimeZones!$A$1:$C$28,2,FALSE))/24</f>
        <v>46297.399826374865</v>
      </c>
    </row>
    <row r="48" spans="1:4" x14ac:dyDescent="0.3">
      <c r="A48" s="2" t="s">
        <v>137</v>
      </c>
      <c r="B48" s="2" t="s">
        <v>532</v>
      </c>
      <c r="C48" s="4">
        <f>46297.0794729668 + (VLOOKUP($B$1,TimeZones!$A$1:$C$28,2,FALSE))/24</f>
        <v>46297.371139633462</v>
      </c>
      <c r="D48" s="4">
        <f>46297.0989623925 + (VLOOKUP($B$1,TimeZones!$A$1:$C$28,2,FALSE))/24</f>
        <v>46297.390629059162</v>
      </c>
    </row>
    <row r="49" spans="1:4" x14ac:dyDescent="0.3">
      <c r="A49" s="2" t="s">
        <v>117</v>
      </c>
      <c r="B49" s="2" t="s">
        <v>534</v>
      </c>
      <c r="C49" s="4">
        <f>46297.0417554106 + (VLOOKUP($B$1,TimeZones!$A$1:$C$28,2,FALSE))/24</f>
        <v>46297.333422077267</v>
      </c>
      <c r="D49" s="4">
        <f>46297.0993758891 + (VLOOKUP($B$1,TimeZones!$A$1:$C$28,2,FALSE))/24</f>
        <v>46297.391042555762</v>
      </c>
    </row>
    <row r="50" spans="1:4" x14ac:dyDescent="0.3">
      <c r="A50" s="2" t="s">
        <v>123</v>
      </c>
      <c r="B50" s="2" t="s">
        <v>535</v>
      </c>
      <c r="C50" s="4">
        <f>46297.0797580446 + (VLOOKUP($B$1,TimeZones!$A$1:$C$28,2,FALSE))/24</f>
        <v>46297.371424711266</v>
      </c>
      <c r="D50" s="4">
        <f>46297.103195326 + (VLOOKUP($B$1,TimeZones!$A$1:$C$28,2,FALSE))/24</f>
        <v>46297.394861992667</v>
      </c>
    </row>
    <row r="51" spans="1:4" x14ac:dyDescent="0.3">
      <c r="A51" s="2" t="s">
        <v>121</v>
      </c>
      <c r="B51" s="2" t="s">
        <v>538</v>
      </c>
      <c r="C51" s="4">
        <f>46297.0495736733 + (VLOOKUP($B$1,TimeZones!$A$1:$C$28,2,FALSE))/24</f>
        <v>46297.341240339963</v>
      </c>
      <c r="D51" s="4">
        <f>46297.0698021853 + (VLOOKUP($B$1,TimeZones!$A$1:$C$28,2,FALSE))/24</f>
        <v>46297.361468851966</v>
      </c>
    </row>
    <row r="52" spans="1:4" x14ac:dyDescent="0.3">
      <c r="A52" s="2" t="s">
        <v>120</v>
      </c>
      <c r="B52" s="2" t="s">
        <v>540</v>
      </c>
      <c r="C52" s="4">
        <f>46297.0419576123 + (VLOOKUP($B$1,TimeZones!$A$1:$C$28,2,FALSE))/24</f>
        <v>46297.333624278966</v>
      </c>
      <c r="D52" s="4">
        <f>46297.0937143842 + (VLOOKUP($B$1,TimeZones!$A$1:$C$28,2,FALSE))/24</f>
        <v>46297.385381050866</v>
      </c>
    </row>
    <row r="53" spans="1:4" x14ac:dyDescent="0.3">
      <c r="A53" s="2" t="s">
        <v>145</v>
      </c>
      <c r="B53" s="2" t="s">
        <v>544</v>
      </c>
      <c r="C53" s="4">
        <f>46297.0418135637 + (VLOOKUP($B$1,TimeZones!$A$1:$C$28,2,FALSE))/24</f>
        <v>46297.333480230365</v>
      </c>
      <c r="D53" s="4">
        <f>46297.0827016256 + (VLOOKUP($B$1,TimeZones!$A$1:$C$28,2,FALSE))/24</f>
        <v>46297.374368292265</v>
      </c>
    </row>
    <row r="54" spans="1:4" x14ac:dyDescent="0.3">
      <c r="A54" s="2" t="s">
        <v>143</v>
      </c>
      <c r="B54" s="2" t="s">
        <v>553</v>
      </c>
      <c r="C54" s="4">
        <f>46297.0794324106 + (VLOOKUP($B$1,TimeZones!$A$1:$C$28,2,FALSE))/24</f>
        <v>46297.371099077267</v>
      </c>
      <c r="D54" s="4">
        <f>46297.1284872717 + (VLOOKUP($B$1,TimeZones!$A$1:$C$28,2,FALSE))/24</f>
        <v>46297.420153938365</v>
      </c>
    </row>
    <row r="55" spans="1:4" x14ac:dyDescent="0.3">
      <c r="A55" s="2" t="s">
        <v>124</v>
      </c>
      <c r="B55" s="2" t="s">
        <v>557</v>
      </c>
      <c r="C55" s="4">
        <f>46297.080455278 + (VLOOKUP($B$1,TimeZones!$A$1:$C$28,2,FALSE))/24</f>
        <v>46297.372121944667</v>
      </c>
      <c r="D55" s="4">
        <f>46297.11836978 + (VLOOKUP($B$1,TimeZones!$A$1:$C$28,2,FALSE))/24</f>
        <v>46297.410036446665</v>
      </c>
    </row>
    <row r="56" spans="1:4" x14ac:dyDescent="0.3">
      <c r="A56" s="2" t="s">
        <v>112</v>
      </c>
      <c r="B56" s="2" t="s">
        <v>558</v>
      </c>
      <c r="C56" s="4">
        <f>46297.0795619039 + (VLOOKUP($B$1,TimeZones!$A$1:$C$28,2,FALSE))/24</f>
        <v>46297.371228570562</v>
      </c>
      <c r="D56" s="4">
        <f>46297.1017400859 + (VLOOKUP($B$1,TimeZones!$A$1:$C$28,2,FALSE))/24</f>
        <v>46297.393406752562</v>
      </c>
    </row>
    <row r="57" spans="1:4" x14ac:dyDescent="0.3">
      <c r="A57" s="2" t="s">
        <v>122</v>
      </c>
      <c r="B57" s="2" t="s">
        <v>573</v>
      </c>
      <c r="C57" s="4">
        <f>46297.0793002524 + (VLOOKUP($B$1,TimeZones!$A$1:$C$28,2,FALSE))/24</f>
        <v>46297.370966919065</v>
      </c>
      <c r="D57" s="4">
        <f>46297.0997569415 + (VLOOKUP($B$1,TimeZones!$A$1:$C$28,2,FALSE))/24</f>
        <v>46297.391423608162</v>
      </c>
    </row>
    <row r="58" spans="1:4" x14ac:dyDescent="0.3">
      <c r="A58" s="2" t="s">
        <v>131</v>
      </c>
      <c r="B58" s="2" t="s">
        <v>577</v>
      </c>
      <c r="C58" s="4">
        <f>46297.0419009351 + (VLOOKUP($B$1,TimeZones!$A$1:$C$28,2,FALSE))/24</f>
        <v>46297.333567601767</v>
      </c>
      <c r="D58" s="4">
        <f>46297.0946789506 + (VLOOKUP($B$1,TimeZones!$A$1:$C$28,2,FALSE))/24</f>
        <v>46297.386345617262</v>
      </c>
    </row>
    <row r="59" spans="1:4" x14ac:dyDescent="0.3">
      <c r="A59" s="2" t="s">
        <v>152</v>
      </c>
      <c r="B59" s="2" t="s">
        <v>579</v>
      </c>
      <c r="C59" s="4">
        <f>46297.0793185874 + (VLOOKUP($B$1,TimeZones!$A$1:$C$28,2,FALSE))/24</f>
        <v>46297.370985254063</v>
      </c>
      <c r="D59" s="4">
        <f>46297.1164046377 + (VLOOKUP($B$1,TimeZones!$A$1:$C$28,2,FALSE))/24</f>
        <v>46297.408071304366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46.44140625" customWidth="1"/>
  </cols>
  <sheetData>
    <row r="1" spans="1:4" x14ac:dyDescent="0.3">
      <c r="A1" s="1" t="s">
        <v>562</v>
      </c>
      <c r="B1" s="2" t="s">
        <v>461</v>
      </c>
    </row>
    <row r="3" spans="1:4" x14ac:dyDescent="0.3">
      <c r="A3" s="1" t="s">
        <v>389</v>
      </c>
      <c r="B3" s="1" t="s">
        <v>549</v>
      </c>
      <c r="C3" s="1" t="str">
        <f>"Время начала сессии (" &amp; VLOOKUP($B$1,TimeZones!$A$1:$C$28,3,FALSE) &amp; ")"</f>
        <v>Время начала сессии (Новосибирск)</v>
      </c>
      <c r="D3" s="1" t="str">
        <f>"Время конца сессии (" &amp; VLOOKUP($B$1,TimeZones!$A$1:$C$28,3,FALSE) &amp; ")"</f>
        <v>Время конца сессии (Новосибирск)</v>
      </c>
    </row>
    <row r="4" spans="1:4" x14ac:dyDescent="0.3">
      <c r="A4" s="2" t="s">
        <v>191</v>
      </c>
      <c r="B4" s="2" t="s">
        <v>303</v>
      </c>
      <c r="C4" s="4">
        <f>46297.0443236515 + (VLOOKUP($B$1,TimeZones!$A$1:$C$28,2,FALSE))/24</f>
        <v>46297.335990318163</v>
      </c>
      <c r="D4" s="4">
        <f>46297.101691067 + (VLOOKUP($B$1,TimeZones!$A$1:$C$28,2,FALSE))/24</f>
        <v>46297.393357733665</v>
      </c>
    </row>
    <row r="5" spans="1:4" x14ac:dyDescent="0.3">
      <c r="A5" s="2" t="s">
        <v>181</v>
      </c>
      <c r="B5" s="2" t="s">
        <v>311</v>
      </c>
      <c r="C5" s="4">
        <f>46297.114071786 + (VLOOKUP($B$1,TimeZones!$A$1:$C$28,2,FALSE))/24</f>
        <v>46297.405738452668</v>
      </c>
      <c r="D5" s="4">
        <f>46297.1605846042 + (VLOOKUP($B$1,TimeZones!$A$1:$C$28,2,FALSE))/24</f>
        <v>46297.452251270865</v>
      </c>
    </row>
    <row r="6" spans="1:4" x14ac:dyDescent="0.3">
      <c r="A6" s="2" t="s">
        <v>175</v>
      </c>
      <c r="B6" s="2" t="s">
        <v>313</v>
      </c>
      <c r="C6" s="4">
        <f>46297.1136028807 + (VLOOKUP($B$1,TimeZones!$A$1:$C$28,2,FALSE))/24</f>
        <v>46297.405269547366</v>
      </c>
      <c r="D6" s="4">
        <f>46297.1495501451 + (VLOOKUP($B$1,TimeZones!$A$1:$C$28,2,FALSE))/24</f>
        <v>46297.441216811763</v>
      </c>
    </row>
    <row r="7" spans="1:4" x14ac:dyDescent="0.3">
      <c r="A7" s="2" t="s">
        <v>184</v>
      </c>
      <c r="B7" s="2" t="s">
        <v>351</v>
      </c>
      <c r="C7" s="4">
        <f>46297.0419713127 + (VLOOKUP($B$1,TimeZones!$A$1:$C$28,2,FALSE))/24</f>
        <v>46297.333637979362</v>
      </c>
      <c r="D7" s="4">
        <f>46297.1010760331 + (VLOOKUP($B$1,TimeZones!$A$1:$C$28,2,FALSE))/24</f>
        <v>46297.392742699863</v>
      </c>
    </row>
    <row r="8" spans="1:4" x14ac:dyDescent="0.3">
      <c r="A8" s="2" t="s">
        <v>169</v>
      </c>
      <c r="B8" s="2" t="s">
        <v>357</v>
      </c>
      <c r="C8" s="4">
        <f>46297.0430183902 + (VLOOKUP($B$1,TimeZones!$A$1:$C$28,2,FALSE))/24</f>
        <v>46297.334685056863</v>
      </c>
      <c r="D8" s="4">
        <f>46297.0690146274 + (VLOOKUP($B$1,TimeZones!$A$1:$C$28,2,FALSE))/24</f>
        <v>46297.360681294063</v>
      </c>
    </row>
    <row r="9" spans="1:4" x14ac:dyDescent="0.3">
      <c r="A9" s="2" t="s">
        <v>183</v>
      </c>
      <c r="B9" s="2" t="s">
        <v>387</v>
      </c>
      <c r="C9" s="4">
        <f>46297.0427907366 + (VLOOKUP($B$1,TimeZones!$A$1:$C$28,2,FALSE))/24</f>
        <v>46297.334457403267</v>
      </c>
      <c r="D9" s="4">
        <f>46297.0800105578 + (VLOOKUP($B$1,TimeZones!$A$1:$C$28,2,FALSE))/24</f>
        <v>46297.371677224466</v>
      </c>
    </row>
    <row r="10" spans="1:4" x14ac:dyDescent="0.3">
      <c r="A10" s="2" t="s">
        <v>185</v>
      </c>
      <c r="B10" s="2" t="s">
        <v>388</v>
      </c>
      <c r="C10" s="4">
        <f>46297.0427622854 + (VLOOKUP($B$1,TimeZones!$A$1:$C$28,2,FALSE))/24</f>
        <v>46297.334428952061</v>
      </c>
      <c r="D10" s="4">
        <f>46297.0962189603 + (VLOOKUP($B$1,TimeZones!$A$1:$C$28,2,FALSE))/24</f>
        <v>46297.387885626966</v>
      </c>
    </row>
    <row r="11" spans="1:4" x14ac:dyDescent="0.3">
      <c r="A11" s="2" t="s">
        <v>170</v>
      </c>
      <c r="B11" s="2" t="s">
        <v>390</v>
      </c>
      <c r="C11" s="4">
        <f>46297.1136883382 + (VLOOKUP($B$1,TimeZones!$A$1:$C$28,2,FALSE))/24</f>
        <v>46297.405355004863</v>
      </c>
      <c r="D11" s="4">
        <f>46297.1511047844 + (VLOOKUP($B$1,TimeZones!$A$1:$C$28,2,FALSE))/24</f>
        <v>46297.442771451068</v>
      </c>
    </row>
    <row r="12" spans="1:4" x14ac:dyDescent="0.3">
      <c r="A12" s="2" t="s">
        <v>174</v>
      </c>
      <c r="B12" s="2" t="s">
        <v>400</v>
      </c>
      <c r="C12" s="4">
        <f>46297.1134022002 + (VLOOKUP($B$1,TimeZones!$A$1:$C$28,2,FALSE))/24</f>
        <v>46297.405068866865</v>
      </c>
      <c r="D12" s="4">
        <f>46297.1758740053 + (VLOOKUP($B$1,TimeZones!$A$1:$C$28,2,FALSE))/24</f>
        <v>46297.467540671962</v>
      </c>
    </row>
    <row r="13" spans="1:4" x14ac:dyDescent="0.3">
      <c r="A13" s="2" t="s">
        <v>194</v>
      </c>
      <c r="B13" s="2" t="s">
        <v>402</v>
      </c>
      <c r="C13" s="4">
        <f>46297.043755482 + (VLOOKUP($B$1,TimeZones!$A$1:$C$28,2,FALSE))/24</f>
        <v>46297.335422148666</v>
      </c>
      <c r="D13" s="4">
        <f>46297.0960623062 + (VLOOKUP($B$1,TimeZones!$A$1:$C$28,2,FALSE))/24</f>
        <v>46297.387728972863</v>
      </c>
    </row>
    <row r="14" spans="1:4" x14ac:dyDescent="0.3">
      <c r="A14" s="2" t="s">
        <v>180</v>
      </c>
      <c r="B14" s="2" t="s">
        <v>417</v>
      </c>
      <c r="C14" s="4">
        <f>46297.1137438381 + (VLOOKUP($B$1,TimeZones!$A$1:$C$28,2,FALSE))/24</f>
        <v>46297.405410504762</v>
      </c>
      <c r="D14" s="4">
        <f>46297.1762438381 + (VLOOKUP($B$1,TimeZones!$A$1:$C$28,2,FALSE))/24</f>
        <v>46297.467910504762</v>
      </c>
    </row>
    <row r="15" spans="1:4" x14ac:dyDescent="0.3">
      <c r="A15" s="2" t="s">
        <v>198</v>
      </c>
      <c r="B15" s="2" t="s">
        <v>428</v>
      </c>
      <c r="C15" s="4">
        <f>46297.113609368 + (VLOOKUP($B$1,TimeZones!$A$1:$C$28,2,FALSE))/24</f>
        <v>46297.405276034668</v>
      </c>
      <c r="D15" s="4">
        <f>46297.1640238409 + (VLOOKUP($B$1,TimeZones!$A$1:$C$28,2,FALSE))/24</f>
        <v>46297.455690507566</v>
      </c>
    </row>
    <row r="16" spans="1:4" x14ac:dyDescent="0.3">
      <c r="A16" s="2" t="s">
        <v>188</v>
      </c>
      <c r="B16" s="2" t="s">
        <v>436</v>
      </c>
      <c r="C16" s="4">
        <f>46297.1139514019 + (VLOOKUP($B$1,TimeZones!$A$1:$C$28,2,FALSE))/24</f>
        <v>46297.405618068566</v>
      </c>
      <c r="D16" s="4">
        <f>46297.1542472312 + (VLOOKUP($B$1,TimeZones!$A$1:$C$28,2,FALSE))/24</f>
        <v>46297.445913897864</v>
      </c>
    </row>
    <row r="17" spans="1:4" x14ac:dyDescent="0.3">
      <c r="A17" s="2" t="s">
        <v>177</v>
      </c>
      <c r="B17" s="2" t="s">
        <v>438</v>
      </c>
      <c r="C17" s="4">
        <f>46297.1135438191 + (VLOOKUP($B$1,TimeZones!$A$1:$C$28,2,FALSE))/24</f>
        <v>46297.405210485762</v>
      </c>
      <c r="D17" s="4">
        <f>46297.1510445253 + (VLOOKUP($B$1,TimeZones!$A$1:$C$28,2,FALSE))/24</f>
        <v>46297.442711191965</v>
      </c>
    </row>
    <row r="18" spans="1:4" x14ac:dyDescent="0.3">
      <c r="A18" s="2" t="s">
        <v>176</v>
      </c>
      <c r="B18" s="2" t="s">
        <v>451</v>
      </c>
      <c r="C18" s="4">
        <f>46297.1139524224 + (VLOOKUP($B$1,TimeZones!$A$1:$C$28,2,FALSE))/24</f>
        <v>46297.405619089062</v>
      </c>
      <c r="D18" s="4">
        <f>46297.1634397889 + (VLOOKUP($B$1,TimeZones!$A$1:$C$28,2,FALSE))/24</f>
        <v>46297.455106455564</v>
      </c>
    </row>
    <row r="19" spans="1:4" x14ac:dyDescent="0.3">
      <c r="A19" s="2" t="s">
        <v>178</v>
      </c>
      <c r="B19" s="2" t="s">
        <v>474</v>
      </c>
      <c r="C19" s="4">
        <f>46297.1132872024 + (VLOOKUP($B$1,TimeZones!$A$1:$C$28,2,FALSE))/24</f>
        <v>46297.404953869067</v>
      </c>
      <c r="D19" s="4">
        <f>46297.1433894035 + (VLOOKUP($B$1,TimeZones!$A$1:$C$28,2,FALSE))/24</f>
        <v>46297.435056070164</v>
      </c>
    </row>
    <row r="20" spans="1:4" x14ac:dyDescent="0.3">
      <c r="A20" s="2" t="s">
        <v>193</v>
      </c>
      <c r="B20" s="2" t="s">
        <v>477</v>
      </c>
      <c r="C20" s="4">
        <f>46297.0429700887 + (VLOOKUP($B$1,TimeZones!$A$1:$C$28,2,FALSE))/24</f>
        <v>46297.334636755368</v>
      </c>
      <c r="D20" s="4">
        <f>46297.1023957221 + (VLOOKUP($B$1,TimeZones!$A$1:$C$28,2,FALSE))/24</f>
        <v>46297.394062388761</v>
      </c>
    </row>
    <row r="21" spans="1:4" x14ac:dyDescent="0.3">
      <c r="A21" s="2" t="s">
        <v>192</v>
      </c>
      <c r="B21" s="2" t="s">
        <v>479</v>
      </c>
      <c r="C21" s="4">
        <f>46297.1133035055 + (VLOOKUP($B$1,TimeZones!$A$1:$C$28,2,FALSE))/24</f>
        <v>46297.404970172167</v>
      </c>
      <c r="D21" s="4">
        <f>46297.1495797556 + (VLOOKUP($B$1,TimeZones!$A$1:$C$28,2,FALSE))/24</f>
        <v>46297.441246422262</v>
      </c>
    </row>
    <row r="22" spans="1:4" x14ac:dyDescent="0.3">
      <c r="A22" s="2" t="s">
        <v>195</v>
      </c>
      <c r="B22" s="2" t="s">
        <v>480</v>
      </c>
      <c r="C22" s="4">
        <f>46297.1140176238 + (VLOOKUP($B$1,TimeZones!$A$1:$C$28,2,FALSE))/24</f>
        <v>46297.405684290461</v>
      </c>
      <c r="D22" s="4">
        <f>46297.1543229212 + (VLOOKUP($B$1,TimeZones!$A$1:$C$28,2,FALSE))/24</f>
        <v>46297.445989587963</v>
      </c>
    </row>
    <row r="23" spans="1:4" x14ac:dyDescent="0.3">
      <c r="A23" s="2" t="s">
        <v>186</v>
      </c>
      <c r="B23" s="2" t="s">
        <v>484</v>
      </c>
      <c r="C23" s="4">
        <f>46297.114156375 + (VLOOKUP($B$1,TimeZones!$A$1:$C$28,2,FALSE))/24</f>
        <v>46297.405823041663</v>
      </c>
      <c r="D23" s="4">
        <f>46297.176656375 + (VLOOKUP($B$1,TimeZones!$A$1:$C$28,2,FALSE))/24</f>
        <v>46297.468323041663</v>
      </c>
    </row>
    <row r="24" spans="1:4" x14ac:dyDescent="0.3">
      <c r="A24" s="2" t="s">
        <v>199</v>
      </c>
      <c r="B24" s="2" t="s">
        <v>490</v>
      </c>
      <c r="C24" s="4">
        <f>46297.1094325048 + (VLOOKUP($B$1,TimeZones!$A$1:$C$28,2,FALSE))/24</f>
        <v>46297.401099171468</v>
      </c>
      <c r="D24" s="4">
        <f>46297.1510239707 + (VLOOKUP($B$1,TimeZones!$A$1:$C$28,2,FALSE))/24</f>
        <v>46297.442690637363</v>
      </c>
    </row>
    <row r="25" spans="1:4" x14ac:dyDescent="0.3">
      <c r="A25" s="2" t="s">
        <v>189</v>
      </c>
      <c r="B25" s="2" t="s">
        <v>491</v>
      </c>
      <c r="C25" s="4">
        <f>46297.1139037256 + (VLOOKUP($B$1,TimeZones!$A$1:$C$28,2,FALSE))/24</f>
        <v>46297.405570392264</v>
      </c>
      <c r="D25" s="4">
        <f>46297.1684636269 + (VLOOKUP($B$1,TimeZones!$A$1:$C$28,2,FALSE))/24</f>
        <v>46297.460130293563</v>
      </c>
    </row>
    <row r="26" spans="1:4" x14ac:dyDescent="0.3">
      <c r="A26" s="2" t="s">
        <v>168</v>
      </c>
      <c r="B26" s="2" t="s">
        <v>498</v>
      </c>
      <c r="C26" s="4">
        <f>46297.1140847712 + (VLOOKUP($B$1,TimeZones!$A$1:$C$28,2,FALSE))/24</f>
        <v>46297.405751437866</v>
      </c>
      <c r="D26" s="4">
        <f>46297.1615205022 + (VLOOKUP($B$1,TimeZones!$A$1:$C$28,2,FALSE))/24</f>
        <v>46297.453187168867</v>
      </c>
    </row>
    <row r="27" spans="1:4" x14ac:dyDescent="0.3">
      <c r="A27" s="2" t="s">
        <v>171</v>
      </c>
      <c r="B27" s="2" t="s">
        <v>518</v>
      </c>
      <c r="C27" s="4">
        <f>46297.1149940549 + (VLOOKUP($B$1,TimeZones!$A$1:$C$28,2,FALSE))/24</f>
        <v>46297.406660721565</v>
      </c>
      <c r="D27" s="4">
        <f>46297.1362532041 + (VLOOKUP($B$1,TimeZones!$A$1:$C$28,2,FALSE))/24</f>
        <v>46297.427919870861</v>
      </c>
    </row>
    <row r="28" spans="1:4" x14ac:dyDescent="0.3">
      <c r="A28" s="2" t="s">
        <v>200</v>
      </c>
      <c r="B28" s="2" t="s">
        <v>519</v>
      </c>
      <c r="C28" s="4">
        <f>46297.1140253089 + (VLOOKUP($B$1,TimeZones!$A$1:$C$28,2,FALSE))/24</f>
        <v>46297.405691975568</v>
      </c>
      <c r="D28" s="4">
        <f>46297.1378534123 + (VLOOKUP($B$1,TimeZones!$A$1:$C$28,2,FALSE))/24</f>
        <v>46297.429520078964</v>
      </c>
    </row>
    <row r="29" spans="1:4" x14ac:dyDescent="0.3">
      <c r="A29" s="2" t="s">
        <v>187</v>
      </c>
      <c r="B29" s="2" t="s">
        <v>533</v>
      </c>
      <c r="C29" s="4">
        <f>46297.1133722466 + (VLOOKUP($B$1,TimeZones!$A$1:$C$28,2,FALSE))/24</f>
        <v>46297.405038913261</v>
      </c>
      <c r="D29" s="4">
        <f>46297.1521953403 + (VLOOKUP($B$1,TimeZones!$A$1:$C$28,2,FALSE))/24</f>
        <v>46297.443862006963</v>
      </c>
    </row>
    <row r="30" spans="1:4" x14ac:dyDescent="0.3">
      <c r="A30" s="2" t="s">
        <v>179</v>
      </c>
      <c r="B30" s="2" t="s">
        <v>545</v>
      </c>
      <c r="C30" s="4">
        <f>46297.1132544077 + (VLOOKUP($B$1,TimeZones!$A$1:$C$28,2,FALSE))/24</f>
        <v>46297.404921074361</v>
      </c>
      <c r="D30" s="4">
        <f>46297.1495951143 + (VLOOKUP($B$1,TimeZones!$A$1:$C$28,2,FALSE))/24</f>
        <v>46297.441261780965</v>
      </c>
    </row>
    <row r="31" spans="1:4" x14ac:dyDescent="0.3">
      <c r="A31" s="2" t="s">
        <v>190</v>
      </c>
      <c r="B31" s="2" t="s">
        <v>554</v>
      </c>
      <c r="C31" s="4">
        <f>46297.1136518398 + (VLOOKUP($B$1,TimeZones!$A$1:$C$28,2,FALSE))/24</f>
        <v>46297.405318506462</v>
      </c>
      <c r="D31" s="4">
        <f>46297.1576449407 + (VLOOKUP($B$1,TimeZones!$A$1:$C$28,2,FALSE))/24</f>
        <v>46297.449311607365</v>
      </c>
    </row>
    <row r="32" spans="1:4" x14ac:dyDescent="0.3">
      <c r="A32" s="2" t="s">
        <v>197</v>
      </c>
      <c r="B32" s="2" t="s">
        <v>559</v>
      </c>
      <c r="C32" s="4">
        <f>46297.1141930012 + (VLOOKUP($B$1,TimeZones!$A$1:$C$28,2,FALSE))/24</f>
        <v>46297.405859667866</v>
      </c>
      <c r="D32" s="4">
        <f>46297.1568979843 + (VLOOKUP($B$1,TimeZones!$A$1:$C$28,2,FALSE))/24</f>
        <v>46297.448564650964</v>
      </c>
    </row>
    <row r="33" spans="1:4" x14ac:dyDescent="0.3">
      <c r="A33" s="2" t="s">
        <v>173</v>
      </c>
      <c r="B33" s="2" t="s">
        <v>576</v>
      </c>
      <c r="C33" s="4">
        <f>46297.1138316072 + (VLOOKUP($B$1,TimeZones!$A$1:$C$28,2,FALSE))/24</f>
        <v>46297.405498273867</v>
      </c>
      <c r="D33" s="4">
        <f>46297.1702391088 + (VLOOKUP($B$1,TimeZones!$A$1:$C$28,2,FALSE))/24</f>
        <v>46297.461905775461</v>
      </c>
    </row>
    <row r="34" spans="1:4" x14ac:dyDescent="0.3">
      <c r="A34" s="2" t="s">
        <v>196</v>
      </c>
      <c r="B34" s="2" t="s">
        <v>581</v>
      </c>
      <c r="C34" s="4">
        <f>46297.1131826932 + (VLOOKUP($B$1,TimeZones!$A$1:$C$28,2,FALSE))/24</f>
        <v>46297.404849359868</v>
      </c>
      <c r="D34" s="4">
        <f>46297.1572361279 + (VLOOKUP($B$1,TimeZones!$A$1:$C$28,2,FALSE))/24</f>
        <v>46297.448902794567</v>
      </c>
    </row>
    <row r="35" spans="1:4" x14ac:dyDescent="0.3">
      <c r="A35" s="2" t="s">
        <v>182</v>
      </c>
      <c r="B35" s="2" t="s">
        <v>582</v>
      </c>
      <c r="C35" s="4">
        <f>46297.1137462926 + (VLOOKUP($B$1,TimeZones!$A$1:$C$28,2,FALSE))/24</f>
        <v>46297.405412959262</v>
      </c>
      <c r="D35" s="4">
        <f>46297.1490255958 + (VLOOKUP($B$1,TimeZones!$A$1:$C$28,2,FALSE))/24</f>
        <v>46297.440692262462</v>
      </c>
    </row>
    <row r="36" spans="1:4" x14ac:dyDescent="0.3">
      <c r="A36" s="2" t="s">
        <v>172</v>
      </c>
      <c r="B36" s="2" t="s">
        <v>588</v>
      </c>
      <c r="C36" s="4">
        <f>46297.1135754886 + (VLOOKUP($B$1,TimeZones!$A$1:$C$28,2,FALSE))/24</f>
        <v>46297.405242155262</v>
      </c>
      <c r="D36" s="4">
        <f>46297.1444971078 + (VLOOKUP($B$1,TimeZones!$A$1:$C$28,2,FALSE))/24</f>
        <v>46297.436163774466</v>
      </c>
    </row>
    <row r="37" spans="1:4" x14ac:dyDescent="0.3">
      <c r="A37" s="2" t="s">
        <v>167</v>
      </c>
      <c r="B37" s="2" t="s">
        <v>589</v>
      </c>
      <c r="C37" s="4">
        <f>46297.1132951173 + (VLOOKUP($B$1,TimeZones!$A$1:$C$28,2,FALSE))/24</f>
        <v>46297.404961783963</v>
      </c>
      <c r="D37" s="4">
        <f>46297.1757951173 + (VLOOKUP($B$1,TimeZones!$A$1:$C$28,2,FALSE))/24</f>
        <v>46297.467461783963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46.44140625" customWidth="1"/>
  </cols>
  <sheetData>
    <row r="1" spans="1:4" x14ac:dyDescent="0.3">
      <c r="A1" s="1" t="s">
        <v>562</v>
      </c>
      <c r="B1" s="2" t="s">
        <v>461</v>
      </c>
    </row>
    <row r="3" spans="1:4" x14ac:dyDescent="0.3">
      <c r="A3" s="1" t="s">
        <v>389</v>
      </c>
      <c r="B3" s="1" t="s">
        <v>549</v>
      </c>
      <c r="C3" s="1" t="str">
        <f>"Время начала сессии (" &amp; VLOOKUP($B$1,TimeZones!$A$1:$C$28,3,FALSE) &amp; ")"</f>
        <v>Время начала сессии (Новосибирск)</v>
      </c>
      <c r="D3" s="1" t="str">
        <f>"Время конца сессии (" &amp; VLOOKUP($B$1,TimeZones!$A$1:$C$28,3,FALSE) &amp; ")"</f>
        <v>Время конца сессии (Новосибирск)</v>
      </c>
    </row>
    <row r="4" spans="1:4" x14ac:dyDescent="0.3">
      <c r="A4" s="2" t="s">
        <v>223</v>
      </c>
      <c r="B4" s="2" t="s">
        <v>298</v>
      </c>
      <c r="C4" s="4">
        <f>46297.0420830084 + (VLOOKUP($B$1,TimeZones!$A$1:$C$28,2,FALSE))/24</f>
        <v>46297.333749675061</v>
      </c>
      <c r="D4" s="4">
        <f>46297.1006615784 + (VLOOKUP($B$1,TimeZones!$A$1:$C$28,2,FALSE))/24</f>
        <v>46297.392328245063</v>
      </c>
    </row>
    <row r="5" spans="1:4" x14ac:dyDescent="0.3">
      <c r="A5" s="2" t="s">
        <v>216</v>
      </c>
      <c r="B5" s="2" t="s">
        <v>302</v>
      </c>
      <c r="C5" s="4">
        <f>46297.0424362832 + (VLOOKUP($B$1,TimeZones!$A$1:$C$28,2,FALSE))/24</f>
        <v>46297.334102949862</v>
      </c>
      <c r="D5" s="4">
        <f>46297.0702721815 + (VLOOKUP($B$1,TimeZones!$A$1:$C$28,2,FALSE))/24</f>
        <v>46297.361938848167</v>
      </c>
    </row>
    <row r="6" spans="1:4" x14ac:dyDescent="0.3">
      <c r="A6" s="2" t="s">
        <v>217</v>
      </c>
      <c r="B6" s="2" t="s">
        <v>315</v>
      </c>
      <c r="C6" s="4">
        <f>46297.1626161326 + (VLOOKUP($B$1,TimeZones!$A$1:$C$28,2,FALSE))/24</f>
        <v>46297.454282799263</v>
      </c>
      <c r="D6" s="4">
        <f>46297.1916297504 + (VLOOKUP($B$1,TimeZones!$A$1:$C$28,2,FALSE))/24</f>
        <v>46297.483296417064</v>
      </c>
    </row>
    <row r="7" spans="1:4" x14ac:dyDescent="0.3">
      <c r="A7" s="2" t="s">
        <v>221</v>
      </c>
      <c r="B7" s="2" t="s">
        <v>324</v>
      </c>
      <c r="C7" s="4">
        <f>46297.1623334075 + (VLOOKUP($B$1,TimeZones!$A$1:$C$28,2,FALSE))/24</f>
        <v>46297.454000074162</v>
      </c>
      <c r="D7" s="4">
        <f>46297.2248334075 + (VLOOKUP($B$1,TimeZones!$A$1:$C$28,2,FALSE))/24</f>
        <v>46297.516500074162</v>
      </c>
    </row>
    <row r="8" spans="1:4" x14ac:dyDescent="0.3">
      <c r="A8" s="2" t="s">
        <v>232</v>
      </c>
      <c r="B8" s="2" t="s">
        <v>325</v>
      </c>
      <c r="C8" s="4">
        <f>46297.1156980866 + (VLOOKUP($B$1,TimeZones!$A$1:$C$28,2,FALSE))/24</f>
        <v>46297.407364753264</v>
      </c>
      <c r="D8" s="4">
        <f>46297.1611688168 + (VLOOKUP($B$1,TimeZones!$A$1:$C$28,2,FALSE))/24</f>
        <v>46297.452835483462</v>
      </c>
    </row>
    <row r="9" spans="1:4" x14ac:dyDescent="0.3">
      <c r="A9" s="2" t="s">
        <v>218</v>
      </c>
      <c r="B9" s="2" t="s">
        <v>329</v>
      </c>
      <c r="C9" s="4">
        <f>46297.1153299198 + (VLOOKUP($B$1,TimeZones!$A$1:$C$28,2,FALSE))/24</f>
        <v>46297.406996586462</v>
      </c>
      <c r="D9" s="4">
        <f>46297.1503707822 + (VLOOKUP($B$1,TimeZones!$A$1:$C$28,2,FALSE))/24</f>
        <v>46297.442037448862</v>
      </c>
    </row>
    <row r="10" spans="1:4" x14ac:dyDescent="0.3">
      <c r="A10" s="2" t="s">
        <v>219</v>
      </c>
      <c r="B10" s="2" t="s">
        <v>335</v>
      </c>
      <c r="C10" s="4">
        <f>46297.1174368998 + (VLOOKUP($B$1,TimeZones!$A$1:$C$28,2,FALSE))/24</f>
        <v>46297.409103566468</v>
      </c>
      <c r="D10" s="4">
        <f>46297.1579500386 + (VLOOKUP($B$1,TimeZones!$A$1:$C$28,2,FALSE))/24</f>
        <v>46297.449616705264</v>
      </c>
    </row>
    <row r="11" spans="1:4" x14ac:dyDescent="0.3">
      <c r="A11" s="2" t="s">
        <v>229</v>
      </c>
      <c r="B11" s="2" t="s">
        <v>337</v>
      </c>
      <c r="C11" s="4">
        <f>46297.041950669 + (VLOOKUP($B$1,TimeZones!$A$1:$C$28,2,FALSE))/24</f>
        <v>46297.333617335666</v>
      </c>
      <c r="D11" s="4">
        <f>46297.0707393568 + (VLOOKUP($B$1,TimeZones!$A$1:$C$28,2,FALSE))/24</f>
        <v>46297.362406023465</v>
      </c>
    </row>
    <row r="12" spans="1:4" x14ac:dyDescent="0.3">
      <c r="A12" s="2" t="s">
        <v>226</v>
      </c>
      <c r="B12" s="2" t="s">
        <v>339</v>
      </c>
      <c r="C12" s="4">
        <f>46297.1153054237 + (VLOOKUP($B$1,TimeZones!$A$1:$C$28,2,FALSE))/24</f>
        <v>46297.406972090364</v>
      </c>
      <c r="D12" s="4">
        <f>46297.1464439705 + (VLOOKUP($B$1,TimeZones!$A$1:$C$28,2,FALSE))/24</f>
        <v>46297.438110637166</v>
      </c>
    </row>
    <row r="13" spans="1:4" x14ac:dyDescent="0.3">
      <c r="A13" s="2" t="s">
        <v>222</v>
      </c>
      <c r="B13" s="2" t="s">
        <v>352</v>
      </c>
      <c r="C13" s="4">
        <f>46297.1156899648 + (VLOOKUP($B$1,TimeZones!$A$1:$C$28,2,FALSE))/24</f>
        <v>46297.407356631462</v>
      </c>
      <c r="D13" s="4">
        <f>46297.1781899648 + (VLOOKUP($B$1,TimeZones!$A$1:$C$28,2,FALSE))/24</f>
        <v>46297.469856631462</v>
      </c>
    </row>
    <row r="14" spans="1:4" x14ac:dyDescent="0.3">
      <c r="A14" s="2" t="s">
        <v>227</v>
      </c>
      <c r="B14" s="2" t="s">
        <v>362</v>
      </c>
      <c r="C14" s="4">
        <f>46297.1159479188 + (VLOOKUP($B$1,TimeZones!$A$1:$C$28,2,FALSE))/24</f>
        <v>46297.407614585463</v>
      </c>
      <c r="D14" s="4">
        <f>46297.1621768972 + (VLOOKUP($B$1,TimeZones!$A$1:$C$28,2,FALSE))/24</f>
        <v>46297.453843563868</v>
      </c>
    </row>
    <row r="15" spans="1:4" x14ac:dyDescent="0.3">
      <c r="A15" s="2" t="s">
        <v>234</v>
      </c>
      <c r="B15" s="2" t="s">
        <v>367</v>
      </c>
      <c r="C15" s="4">
        <f>46297.1153807277 + (VLOOKUP($B$1,TimeZones!$A$1:$C$28,2,FALSE))/24</f>
        <v>46297.407047394365</v>
      </c>
      <c r="D15" s="4">
        <f>46297.1778807277 + (VLOOKUP($B$1,TimeZones!$A$1:$C$28,2,FALSE))/24</f>
        <v>46297.469547394365</v>
      </c>
    </row>
    <row r="16" spans="1:4" x14ac:dyDescent="0.3">
      <c r="A16" s="2" t="s">
        <v>235</v>
      </c>
      <c r="B16" s="2" t="s">
        <v>369</v>
      </c>
      <c r="C16" s="4">
        <f>46297.0427786804 + (VLOOKUP($B$1,TimeZones!$A$1:$C$28,2,FALSE))/24</f>
        <v>46297.334445347064</v>
      </c>
      <c r="D16" s="4">
        <f>46297.1049823484 + (VLOOKUP($B$1,TimeZones!$A$1:$C$28,2,FALSE))/24</f>
        <v>46297.396649015063</v>
      </c>
    </row>
    <row r="17" spans="1:4" x14ac:dyDescent="0.3">
      <c r="A17" s="2" t="s">
        <v>230</v>
      </c>
      <c r="B17" s="2" t="s">
        <v>374</v>
      </c>
      <c r="C17" s="4">
        <f>46297.1154852641 + (VLOOKUP($B$1,TimeZones!$A$1:$C$28,2,FALSE))/24</f>
        <v>46297.407151930762</v>
      </c>
      <c r="D17" s="4">
        <f>46297.1667949081 + (VLOOKUP($B$1,TimeZones!$A$1:$C$28,2,FALSE))/24</f>
        <v>46297.458461574766</v>
      </c>
    </row>
    <row r="18" spans="1:4" x14ac:dyDescent="0.3">
      <c r="A18" s="2" t="s">
        <v>237</v>
      </c>
      <c r="B18" s="2" t="s">
        <v>380</v>
      </c>
      <c r="C18" s="4">
        <f>46297.1625010526 + (VLOOKUP($B$1,TimeZones!$A$1:$C$28,2,FALSE))/24</f>
        <v>46297.454167719261</v>
      </c>
      <c r="D18" s="4">
        <f>46297.2184693241 + (VLOOKUP($B$1,TimeZones!$A$1:$C$28,2,FALSE))/24</f>
        <v>46297.510135990764</v>
      </c>
    </row>
    <row r="19" spans="1:4" x14ac:dyDescent="0.3">
      <c r="A19" s="2" t="s">
        <v>240</v>
      </c>
      <c r="B19" s="2" t="s">
        <v>382</v>
      </c>
      <c r="C19" s="4">
        <f>46297.1174131851 + (VLOOKUP($B$1,TimeZones!$A$1:$C$28,2,FALSE))/24</f>
        <v>46297.409079851765</v>
      </c>
      <c r="D19" s="4">
        <f>46297.1799131851 + (VLOOKUP($B$1,TimeZones!$A$1:$C$28,2,FALSE))/24</f>
        <v>46297.471579851765</v>
      </c>
    </row>
    <row r="20" spans="1:4" x14ac:dyDescent="0.3">
      <c r="A20" s="2" t="s">
        <v>224</v>
      </c>
      <c r="B20" s="2" t="s">
        <v>392</v>
      </c>
      <c r="C20" s="4">
        <f>46297.1158256217 + (VLOOKUP($B$1,TimeZones!$A$1:$C$28,2,FALSE))/24</f>
        <v>46297.407492288366</v>
      </c>
      <c r="D20" s="4">
        <f>46297.1617171509 + (VLOOKUP($B$1,TimeZones!$A$1:$C$28,2,FALSE))/24</f>
        <v>46297.453383817563</v>
      </c>
    </row>
    <row r="21" spans="1:4" x14ac:dyDescent="0.3">
      <c r="A21" s="2" t="s">
        <v>231</v>
      </c>
      <c r="B21" s="2" t="s">
        <v>397</v>
      </c>
      <c r="C21" s="4">
        <f>46297.1155481667 + (VLOOKUP($B$1,TimeZones!$A$1:$C$28,2,FALSE))/24</f>
        <v>46297.407214833365</v>
      </c>
      <c r="D21" s="4">
        <f>46297.1625167253 + (VLOOKUP($B$1,TimeZones!$A$1:$C$28,2,FALSE))/24</f>
        <v>46297.454183391965</v>
      </c>
    </row>
    <row r="22" spans="1:4" x14ac:dyDescent="0.3">
      <c r="A22" s="2" t="s">
        <v>236</v>
      </c>
      <c r="B22" s="2" t="s">
        <v>408</v>
      </c>
      <c r="C22" s="4">
        <f>46297.0462483534 + (VLOOKUP($B$1,TimeZones!$A$1:$C$28,2,FALSE))/24</f>
        <v>46297.337915020064</v>
      </c>
      <c r="D22" s="4">
        <f>46297.1051314902 + (VLOOKUP($B$1,TimeZones!$A$1:$C$28,2,FALSE))/24</f>
        <v>46297.396798156864</v>
      </c>
    </row>
    <row r="23" spans="1:4" x14ac:dyDescent="0.3">
      <c r="A23" s="2" t="s">
        <v>225</v>
      </c>
      <c r="B23" s="2" t="s">
        <v>410</v>
      </c>
      <c r="C23" s="4">
        <f>46297.1153724953 + (VLOOKUP($B$1,TimeZones!$A$1:$C$28,2,FALSE))/24</f>
        <v>46297.407039161961</v>
      </c>
      <c r="D23" s="4">
        <f>46297.1674929079 + (VLOOKUP($B$1,TimeZones!$A$1:$C$28,2,FALSE))/24</f>
        <v>46297.459159574566</v>
      </c>
    </row>
    <row r="24" spans="1:4" x14ac:dyDescent="0.3">
      <c r="A24" s="2" t="s">
        <v>228</v>
      </c>
      <c r="B24" s="2" t="s">
        <v>414</v>
      </c>
      <c r="C24" s="4">
        <f>46297.1160031005 + (VLOOKUP($B$1,TimeZones!$A$1:$C$28,2,FALSE))/24</f>
        <v>46297.407669767163</v>
      </c>
      <c r="D24" s="4">
        <f>46297.1608563689 + (VLOOKUP($B$1,TimeZones!$A$1:$C$28,2,FALSE))/24</f>
        <v>46297.452523035565</v>
      </c>
    </row>
    <row r="25" spans="1:4" x14ac:dyDescent="0.3">
      <c r="A25" s="2" t="s">
        <v>214</v>
      </c>
      <c r="B25" s="2" t="s">
        <v>427</v>
      </c>
      <c r="C25" s="4">
        <f>46297.116022662 + (VLOOKUP($B$1,TimeZones!$A$1:$C$28,2,FALSE))/24</f>
        <v>46297.407689328662</v>
      </c>
      <c r="D25" s="4">
        <f>46297.1498883846 + (VLOOKUP($B$1,TimeZones!$A$1:$C$28,2,FALSE))/24</f>
        <v>46297.441555051264</v>
      </c>
    </row>
    <row r="26" spans="1:4" x14ac:dyDescent="0.3">
      <c r="A26" s="2" t="s">
        <v>233</v>
      </c>
      <c r="B26" s="2" t="s">
        <v>434</v>
      </c>
      <c r="C26" s="4">
        <f>46297.1153332304 + (VLOOKUP($B$1,TimeZones!$A$1:$C$28,2,FALSE))/24</f>
        <v>46297.406999897066</v>
      </c>
      <c r="D26" s="4">
        <f>46297.1490375561 + (VLOOKUP($B$1,TimeZones!$A$1:$C$28,2,FALSE))/24</f>
        <v>46297.440704222761</v>
      </c>
    </row>
    <row r="27" spans="1:4" x14ac:dyDescent="0.3">
      <c r="A27" s="2" t="s">
        <v>238</v>
      </c>
      <c r="B27" s="2" t="s">
        <v>437</v>
      </c>
      <c r="C27" s="4">
        <f>46297.1158084489 + (VLOOKUP($B$1,TimeZones!$A$1:$C$28,2,FALSE))/24</f>
        <v>46297.407475115564</v>
      </c>
      <c r="D27" s="4">
        <f>46297.147352211 + (VLOOKUP($B$1,TimeZones!$A$1:$C$28,2,FALSE))/24</f>
        <v>46297.439018877667</v>
      </c>
    </row>
    <row r="28" spans="1:4" x14ac:dyDescent="0.3">
      <c r="A28" s="2" t="s">
        <v>239</v>
      </c>
      <c r="B28" s="2" t="s">
        <v>472</v>
      </c>
      <c r="C28" s="4">
        <f>46297.1153425384 + (VLOOKUP($B$1,TimeZones!$A$1:$C$28,2,FALSE))/24</f>
        <v>46297.407009205061</v>
      </c>
      <c r="D28" s="4">
        <f>46297.1653879323 + (VLOOKUP($B$1,TimeZones!$A$1:$C$28,2,FALSE))/24</f>
        <v>46297.457054598963</v>
      </c>
    </row>
    <row r="29" spans="1:4" x14ac:dyDescent="0.3">
      <c r="A29" s="2" t="s">
        <v>204</v>
      </c>
      <c r="B29" s="2" t="s">
        <v>476</v>
      </c>
      <c r="C29" s="4">
        <f>46297.1158908958 + (VLOOKUP($B$1,TimeZones!$A$1:$C$28,2,FALSE))/24</f>
        <v>46297.407557562467</v>
      </c>
      <c r="D29" s="4">
        <f>46297.1650096043 + (VLOOKUP($B$1,TimeZones!$A$1:$C$28,2,FALSE))/24</f>
        <v>46297.456676270966</v>
      </c>
    </row>
    <row r="30" spans="1:4" x14ac:dyDescent="0.3">
      <c r="A30" s="2" t="s">
        <v>212</v>
      </c>
      <c r="B30" s="2" t="s">
        <v>481</v>
      </c>
      <c r="C30" s="4">
        <f>46297.1254891564 + (VLOOKUP($B$1,TimeZones!$A$1:$C$28,2,FALSE))/24</f>
        <v>46297.417155823066</v>
      </c>
      <c r="D30" s="4">
        <f>46297.1765832186 + (VLOOKUP($B$1,TimeZones!$A$1:$C$28,2,FALSE))/24</f>
        <v>46297.468249885264</v>
      </c>
    </row>
    <row r="31" spans="1:4" x14ac:dyDescent="0.3">
      <c r="A31" s="2" t="s">
        <v>220</v>
      </c>
      <c r="B31" s="2" t="s">
        <v>483</v>
      </c>
      <c r="C31" s="4">
        <f>46297.1156544587 + (VLOOKUP($B$1,TimeZones!$A$1:$C$28,2,FALSE))/24</f>
        <v>46297.407321125364</v>
      </c>
      <c r="D31" s="4">
        <f>46297.1693391064 + (VLOOKUP($B$1,TimeZones!$A$1:$C$28,2,FALSE))/24</f>
        <v>46297.461005773068</v>
      </c>
    </row>
    <row r="32" spans="1:4" x14ac:dyDescent="0.3">
      <c r="A32" s="2" t="s">
        <v>215</v>
      </c>
      <c r="B32" s="2" t="s">
        <v>494</v>
      </c>
      <c r="C32" s="4">
        <f>46297.1627276872 + (VLOOKUP($B$1,TimeZones!$A$1:$C$28,2,FALSE))/24</f>
        <v>46297.454394353867</v>
      </c>
      <c r="D32" s="4">
        <f>46297.2243839458 + (VLOOKUP($B$1,TimeZones!$A$1:$C$28,2,FALSE))/24</f>
        <v>46297.516050612467</v>
      </c>
    </row>
    <row r="33" spans="1:4" x14ac:dyDescent="0.3">
      <c r="A33" s="2" t="s">
        <v>207</v>
      </c>
      <c r="B33" s="2" t="s">
        <v>499</v>
      </c>
      <c r="C33" s="4">
        <f>46297.0421681199 + (VLOOKUP($B$1,TimeZones!$A$1:$C$28,2,FALSE))/24</f>
        <v>46297.333834786565</v>
      </c>
      <c r="D33" s="4">
        <f>46297.0713231537 + (VLOOKUP($B$1,TimeZones!$A$1:$C$28,2,FALSE))/24</f>
        <v>46297.362989820365</v>
      </c>
    </row>
    <row r="34" spans="1:4" x14ac:dyDescent="0.3">
      <c r="A34" s="2" t="s">
        <v>206</v>
      </c>
      <c r="B34" s="2" t="s">
        <v>501</v>
      </c>
      <c r="C34" s="4">
        <f>46297.1630667133 + (VLOOKUP($B$1,TimeZones!$A$1:$C$28,2,FALSE))/24</f>
        <v>46297.454733379964</v>
      </c>
      <c r="D34" s="4">
        <f>46297.1907362805 + (VLOOKUP($B$1,TimeZones!$A$1:$C$28,2,FALSE))/24</f>
        <v>46297.482402947164</v>
      </c>
    </row>
    <row r="35" spans="1:4" x14ac:dyDescent="0.3">
      <c r="A35" s="2" t="s">
        <v>202</v>
      </c>
      <c r="B35" s="2" t="s">
        <v>517</v>
      </c>
      <c r="C35" s="4">
        <f>46297.115398586 + (VLOOKUP($B$1,TimeZones!$A$1:$C$28,2,FALSE))/24</f>
        <v>46297.407065252664</v>
      </c>
      <c r="D35" s="4">
        <f>46297.1571841223 + (VLOOKUP($B$1,TimeZones!$A$1:$C$28,2,FALSE))/24</f>
        <v>46297.448850788962</v>
      </c>
    </row>
    <row r="36" spans="1:4" x14ac:dyDescent="0.3">
      <c r="A36" s="2" t="s">
        <v>205</v>
      </c>
      <c r="B36" s="2" t="s">
        <v>520</v>
      </c>
      <c r="C36" s="4">
        <f>46297.1153258492 + (VLOOKUP($B$1,TimeZones!$A$1:$C$28,2,FALSE))/24</f>
        <v>46297.406992515862</v>
      </c>
      <c r="D36" s="4">
        <f>46297.1752647374 + (VLOOKUP($B$1,TimeZones!$A$1:$C$28,2,FALSE))/24</f>
        <v>46297.466931404066</v>
      </c>
    </row>
    <row r="37" spans="1:4" x14ac:dyDescent="0.3">
      <c r="A37" s="2" t="s">
        <v>203</v>
      </c>
      <c r="B37" s="2" t="s">
        <v>539</v>
      </c>
      <c r="C37" s="4">
        <f>46297.1155620016 + (VLOOKUP($B$1,TimeZones!$A$1:$C$28,2,FALSE))/24</f>
        <v>46297.407228668264</v>
      </c>
      <c r="D37" s="4">
        <f>46297.1627487619 + (VLOOKUP($B$1,TimeZones!$A$1:$C$28,2,FALSE))/24</f>
        <v>46297.454415428561</v>
      </c>
    </row>
    <row r="38" spans="1:4" x14ac:dyDescent="0.3">
      <c r="A38" s="2" t="s">
        <v>201</v>
      </c>
      <c r="B38" s="2" t="s">
        <v>543</v>
      </c>
      <c r="C38" s="4">
        <f>46297.1153512392 + (VLOOKUP($B$1,TimeZones!$A$1:$C$28,2,FALSE))/24</f>
        <v>46297.407017905862</v>
      </c>
      <c r="D38" s="4">
        <f>46297.1558485221 + (VLOOKUP($B$1,TimeZones!$A$1:$C$28,2,FALSE))/24</f>
        <v>46297.447515188767</v>
      </c>
    </row>
    <row r="39" spans="1:4" x14ac:dyDescent="0.3">
      <c r="A39" s="2" t="s">
        <v>241</v>
      </c>
      <c r="B39" s="2" t="s">
        <v>546</v>
      </c>
      <c r="C39" s="4">
        <f>46297.1153436509 + (VLOOKUP($B$1,TimeZones!$A$1:$C$28,2,FALSE))/24</f>
        <v>46297.407010317562</v>
      </c>
      <c r="D39" s="4">
        <f>46297.157498688 + (VLOOKUP($B$1,TimeZones!$A$1:$C$28,2,FALSE))/24</f>
        <v>46297.449165354665</v>
      </c>
    </row>
    <row r="40" spans="1:4" x14ac:dyDescent="0.3">
      <c r="A40" s="2" t="s">
        <v>208</v>
      </c>
      <c r="B40" s="2" t="s">
        <v>551</v>
      </c>
      <c r="C40" s="4">
        <f>46297.1154199915 + (VLOOKUP($B$1,TimeZones!$A$1:$C$28,2,FALSE))/24</f>
        <v>46297.407086658168</v>
      </c>
      <c r="D40" s="4">
        <f>46297.1464084113 + (VLOOKUP($B$1,TimeZones!$A$1:$C$28,2,FALSE))/24</f>
        <v>46297.438075077967</v>
      </c>
    </row>
    <row r="41" spans="1:4" x14ac:dyDescent="0.3">
      <c r="A41" s="2" t="s">
        <v>211</v>
      </c>
      <c r="B41" s="2" t="s">
        <v>556</v>
      </c>
      <c r="C41" s="4">
        <f>46297.0424736586 + (VLOOKUP($B$1,TimeZones!$A$1:$C$28,2,FALSE))/24</f>
        <v>46297.334140325263</v>
      </c>
      <c r="D41" s="4">
        <f>46297.1041831018 + (VLOOKUP($B$1,TimeZones!$A$1:$C$28,2,FALSE))/24</f>
        <v>46297.395849768465</v>
      </c>
    </row>
    <row r="42" spans="1:4" x14ac:dyDescent="0.3">
      <c r="A42" s="2" t="s">
        <v>210</v>
      </c>
      <c r="B42" s="2" t="s">
        <v>565</v>
      </c>
      <c r="C42" s="4">
        <f>46297.1156808827 + (VLOOKUP($B$1,TimeZones!$A$1:$C$28,2,FALSE))/24</f>
        <v>46297.407347549364</v>
      </c>
      <c r="D42" s="4">
        <f>46297.163985366 + (VLOOKUP($B$1,TimeZones!$A$1:$C$28,2,FALSE))/24</f>
        <v>46297.455652032666</v>
      </c>
    </row>
    <row r="43" spans="1:4" x14ac:dyDescent="0.3">
      <c r="A43" s="2" t="s">
        <v>213</v>
      </c>
      <c r="B43" s="2" t="s">
        <v>566</v>
      </c>
      <c r="C43" s="4">
        <f>46297.0430764656 + (VLOOKUP($B$1,TimeZones!$A$1:$C$28,2,FALSE))/24</f>
        <v>46297.334743132262</v>
      </c>
      <c r="D43" s="4">
        <f>46297.104259629 + (VLOOKUP($B$1,TimeZones!$A$1:$C$28,2,FALSE))/24</f>
        <v>46297.395926295663</v>
      </c>
    </row>
    <row r="44" spans="1:4" x14ac:dyDescent="0.3">
      <c r="A44" s="2" t="s">
        <v>242</v>
      </c>
      <c r="B44" s="2" t="s">
        <v>570</v>
      </c>
      <c r="C44" s="4">
        <f>46297.1153298896 + (VLOOKUP($B$1,TimeZones!$A$1:$C$28,2,FALSE))/24</f>
        <v>46297.406996556267</v>
      </c>
      <c r="D44" s="4">
        <f>46297.1535200275 + (VLOOKUP($B$1,TimeZones!$A$1:$C$28,2,FALSE))/24</f>
        <v>46297.445186694167</v>
      </c>
    </row>
    <row r="45" spans="1:4" x14ac:dyDescent="0.3">
      <c r="A45" s="2" t="s">
        <v>209</v>
      </c>
      <c r="B45" s="2" t="s">
        <v>575</v>
      </c>
      <c r="C45" s="4">
        <f>46297.0456582545 + (VLOOKUP($B$1,TimeZones!$A$1:$C$28,2,FALSE))/24</f>
        <v>46297.337324921165</v>
      </c>
      <c r="D45" s="4">
        <f>46297.1016886306 + (VLOOKUP($B$1,TimeZones!$A$1:$C$28,2,FALSE))/24</f>
        <v>46297.393355297267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/>
  </sheetViews>
  <sheetFormatPr defaultRowHeight="14.4" x14ac:dyDescent="0.3"/>
  <cols>
    <col min="1" max="1" width="34.77734375" customWidth="1"/>
    <col min="2" max="2" width="58" customWidth="1"/>
    <col min="3" max="4" width="46.44140625" customWidth="1"/>
  </cols>
  <sheetData>
    <row r="1" spans="1:4" x14ac:dyDescent="0.3">
      <c r="A1" s="1" t="s">
        <v>562</v>
      </c>
      <c r="B1" s="2" t="s">
        <v>461</v>
      </c>
    </row>
    <row r="3" spans="1:4" x14ac:dyDescent="0.3">
      <c r="A3" s="1" t="s">
        <v>389</v>
      </c>
      <c r="B3" s="1" t="s">
        <v>549</v>
      </c>
      <c r="C3" s="1" t="str">
        <f>"Время начала сессии (" &amp; VLOOKUP($B$1,TimeZones!$A$1:$C$28,3,FALSE) &amp; ")"</f>
        <v>Время начала сессии (Новосибирск)</v>
      </c>
      <c r="D3" s="1" t="str">
        <f>"Время конца сессии (" &amp; VLOOKUP($B$1,TimeZones!$A$1:$C$28,3,FALSE) &amp; ")"</f>
        <v>Время конца сессии (Новосибирск)</v>
      </c>
    </row>
    <row r="4" spans="1:4" x14ac:dyDescent="0.3">
      <c r="A4" s="2" t="s">
        <v>253</v>
      </c>
      <c r="B4" s="2" t="s">
        <v>282</v>
      </c>
      <c r="C4" s="4">
        <f>46297.1980111486 + (VLOOKUP($B$1,TimeZones!$A$1:$C$28,2,FALSE))/24</f>
        <v>46297.489677815262</v>
      </c>
      <c r="D4" s="4">
        <f>46297.2188627087 + (VLOOKUP($B$1,TimeZones!$A$1:$C$28,2,FALSE))/24</f>
        <v>46297.510529375366</v>
      </c>
    </row>
    <row r="5" spans="1:4" x14ac:dyDescent="0.3">
      <c r="A5" s="2" t="s">
        <v>276</v>
      </c>
      <c r="B5" s="2" t="s">
        <v>283</v>
      </c>
      <c r="C5" s="4">
        <f>46297.193613185 + (VLOOKUP($B$1,TimeZones!$A$1:$C$28,2,FALSE))/24</f>
        <v>46297.485279851666</v>
      </c>
      <c r="D5" s="4">
        <f>46297.2307536544 + (VLOOKUP($B$1,TimeZones!$A$1:$C$28,2,FALSE))/24</f>
        <v>46297.522420321067</v>
      </c>
    </row>
    <row r="6" spans="1:4" x14ac:dyDescent="0.3">
      <c r="A6" s="2" t="s">
        <v>255</v>
      </c>
      <c r="B6" s="2" t="s">
        <v>289</v>
      </c>
      <c r="C6" s="4">
        <f>46297.2021962356 + (VLOOKUP($B$1,TimeZones!$A$1:$C$28,2,FALSE))/24</f>
        <v>46297.493862902265</v>
      </c>
      <c r="D6" s="4">
        <f>46297.2207909258 + (VLOOKUP($B$1,TimeZones!$A$1:$C$28,2,FALSE))/24</f>
        <v>46297.512457592464</v>
      </c>
    </row>
    <row r="7" spans="1:4" x14ac:dyDescent="0.3">
      <c r="A7" s="2" t="s">
        <v>254</v>
      </c>
      <c r="B7" s="2" t="s">
        <v>296</v>
      </c>
      <c r="C7" s="4">
        <f>46297.0454136219 + (VLOOKUP($B$1,TimeZones!$A$1:$C$28,2,FALSE))/24</f>
        <v>46297.337080288562</v>
      </c>
      <c r="D7" s="4">
        <f>46297.1033405065 + (VLOOKUP($B$1,TimeZones!$A$1:$C$28,2,FALSE))/24</f>
        <v>46297.395007173167</v>
      </c>
    </row>
    <row r="8" spans="1:4" x14ac:dyDescent="0.3">
      <c r="A8" s="2" t="s">
        <v>265</v>
      </c>
      <c r="B8" s="2" t="s">
        <v>309</v>
      </c>
      <c r="C8" s="4">
        <f>46297.1933735467 + (VLOOKUP($B$1,TimeZones!$A$1:$C$28,2,FALSE))/24</f>
        <v>46297.485040213367</v>
      </c>
      <c r="D8" s="4">
        <f>46297.2224884891 + (VLOOKUP($B$1,TimeZones!$A$1:$C$28,2,FALSE))/24</f>
        <v>46297.514155155761</v>
      </c>
    </row>
    <row r="9" spans="1:4" x14ac:dyDescent="0.3">
      <c r="A9" s="2" t="s">
        <v>249</v>
      </c>
      <c r="B9" s="2" t="s">
        <v>312</v>
      </c>
      <c r="C9" s="4">
        <f>46297.1937240445 + (VLOOKUP($B$1,TimeZones!$A$1:$C$28,2,FALSE))/24</f>
        <v>46297.485390711263</v>
      </c>
      <c r="D9" s="4">
        <f>46297.2197446721 + (VLOOKUP($B$1,TimeZones!$A$1:$C$28,2,FALSE))/24</f>
        <v>46297.511411338761</v>
      </c>
    </row>
    <row r="10" spans="1:4" x14ac:dyDescent="0.3">
      <c r="A10" s="2" t="s">
        <v>256</v>
      </c>
      <c r="B10" s="2" t="s">
        <v>327</v>
      </c>
      <c r="C10" s="4">
        <f>46297.1940214785 + (VLOOKUP($B$1,TimeZones!$A$1:$C$28,2,FALSE))/24</f>
        <v>46297.485688145163</v>
      </c>
      <c r="D10" s="4">
        <f>46297.205348992 + (VLOOKUP($B$1,TimeZones!$A$1:$C$28,2,FALSE))/24</f>
        <v>46297.497015658664</v>
      </c>
    </row>
    <row r="11" spans="1:4" x14ac:dyDescent="0.3">
      <c r="A11" s="2" t="s">
        <v>250</v>
      </c>
      <c r="B11" s="2" t="s">
        <v>331</v>
      </c>
      <c r="C11" s="4">
        <f>46297.0455937338 + (VLOOKUP($B$1,TimeZones!$A$1:$C$28,2,FALSE))/24</f>
        <v>46297.337260400564</v>
      </c>
      <c r="D11" s="4">
        <f>46297.099314243 + (VLOOKUP($B$1,TimeZones!$A$1:$C$28,2,FALSE))/24</f>
        <v>46297.390980909666</v>
      </c>
    </row>
    <row r="12" spans="1:4" x14ac:dyDescent="0.3">
      <c r="A12" s="2" t="s">
        <v>248</v>
      </c>
      <c r="B12" s="2" t="s">
        <v>332</v>
      </c>
      <c r="C12" s="4">
        <f>46297.0456771453 + (VLOOKUP($B$1,TimeZones!$A$1:$C$28,2,FALSE))/24</f>
        <v>46297.337343811967</v>
      </c>
      <c r="D12" s="4">
        <f>46297.1014877439 + (VLOOKUP($B$1,TimeZones!$A$1:$C$28,2,FALSE))/24</f>
        <v>46297.393154410565</v>
      </c>
    </row>
    <row r="13" spans="1:4" x14ac:dyDescent="0.3">
      <c r="A13" s="2" t="s">
        <v>269</v>
      </c>
      <c r="B13" s="2" t="s">
        <v>333</v>
      </c>
      <c r="C13" s="4">
        <f>46297.1950707943 + (VLOOKUP($B$1,TimeZones!$A$1:$C$28,2,FALSE))/24</f>
        <v>46297.486737460968</v>
      </c>
      <c r="D13" s="4">
        <f>46297.2210577101 + (VLOOKUP($B$1,TimeZones!$A$1:$C$28,2,FALSE))/24</f>
        <v>46297.512724376764</v>
      </c>
    </row>
    <row r="14" spans="1:4" x14ac:dyDescent="0.3">
      <c r="A14" s="2" t="s">
        <v>268</v>
      </c>
      <c r="B14" s="2" t="s">
        <v>341</v>
      </c>
      <c r="C14" s="4">
        <f>46297.0453216736 + (VLOOKUP($B$1,TimeZones!$A$1:$C$28,2,FALSE))/24</f>
        <v>46297.336988340263</v>
      </c>
      <c r="D14" s="4">
        <f>46297.0987680541 + (VLOOKUP($B$1,TimeZones!$A$1:$C$28,2,FALSE))/24</f>
        <v>46297.390434720764</v>
      </c>
    </row>
    <row r="15" spans="1:4" x14ac:dyDescent="0.3">
      <c r="A15" s="2" t="s">
        <v>270</v>
      </c>
      <c r="B15" s="2" t="s">
        <v>342</v>
      </c>
      <c r="C15" s="4">
        <f>46297.1936275769 + (VLOOKUP($B$1,TimeZones!$A$1:$C$28,2,FALSE))/24</f>
        <v>46297.485294243561</v>
      </c>
      <c r="D15" s="4">
        <f>46297.2347513476 + (VLOOKUP($B$1,TimeZones!$A$1:$C$28,2,FALSE))/24</f>
        <v>46297.526418014262</v>
      </c>
    </row>
    <row r="16" spans="1:4" x14ac:dyDescent="0.3">
      <c r="A16" s="2" t="s">
        <v>262</v>
      </c>
      <c r="B16" s="2" t="s">
        <v>343</v>
      </c>
      <c r="C16" s="4">
        <f>46297.1937874386 + (VLOOKUP($B$1,TimeZones!$A$1:$C$28,2,FALSE))/24</f>
        <v>46297.485454105263</v>
      </c>
      <c r="D16" s="4">
        <f>46297.2353011161 + (VLOOKUP($B$1,TimeZones!$A$1:$C$28,2,FALSE))/24</f>
        <v>46297.526967782767</v>
      </c>
    </row>
    <row r="17" spans="1:4" x14ac:dyDescent="0.3">
      <c r="A17" s="2" t="s">
        <v>246</v>
      </c>
      <c r="B17" s="2" t="s">
        <v>354</v>
      </c>
      <c r="C17" s="4">
        <f>46297.1934857677 + (VLOOKUP($B$1,TimeZones!$A$1:$C$28,2,FALSE))/24</f>
        <v>46297.485152434361</v>
      </c>
      <c r="D17" s="4">
        <f>46297.2307199397 + (VLOOKUP($B$1,TimeZones!$A$1:$C$28,2,FALSE))/24</f>
        <v>46297.522386606361</v>
      </c>
    </row>
    <row r="18" spans="1:4" x14ac:dyDescent="0.3">
      <c r="A18" s="2" t="s">
        <v>267</v>
      </c>
      <c r="B18" s="2" t="s">
        <v>358</v>
      </c>
      <c r="C18" s="4">
        <f>46297.1943615969 + (VLOOKUP($B$1,TimeZones!$A$1:$C$28,2,FALSE))/24</f>
        <v>46297.486028263564</v>
      </c>
      <c r="D18" s="4">
        <f>46297.2321611217 + (VLOOKUP($B$1,TimeZones!$A$1:$C$28,2,FALSE))/24</f>
        <v>46297.523827788362</v>
      </c>
    </row>
    <row r="19" spans="1:4" x14ac:dyDescent="0.3">
      <c r="A19" s="2" t="s">
        <v>275</v>
      </c>
      <c r="B19" s="2" t="s">
        <v>370</v>
      </c>
      <c r="C19" s="4">
        <f>46297.0454924574 + (VLOOKUP($B$1,TimeZones!$A$1:$C$28,2,FALSE))/24</f>
        <v>46297.337159124065</v>
      </c>
      <c r="D19" s="4">
        <f>46297.1062489375 + (VLOOKUP($B$1,TimeZones!$A$1:$C$28,2,FALSE))/24</f>
        <v>46297.397915604168</v>
      </c>
    </row>
    <row r="20" spans="1:4" x14ac:dyDescent="0.3">
      <c r="A20" s="2" t="s">
        <v>261</v>
      </c>
      <c r="B20" s="2" t="s">
        <v>381</v>
      </c>
      <c r="C20" s="4">
        <f>46297.0423611263 + (VLOOKUP($B$1,TimeZones!$A$1:$C$28,2,FALSE))/24</f>
        <v>46297.334027792967</v>
      </c>
      <c r="D20" s="4">
        <f>46297.0946190544 + (VLOOKUP($B$1,TimeZones!$A$1:$C$28,2,FALSE))/24</f>
        <v>46297.386285721062</v>
      </c>
    </row>
    <row r="21" spans="1:4" x14ac:dyDescent="0.3">
      <c r="A21" s="2" t="s">
        <v>266</v>
      </c>
      <c r="B21" s="2" t="s">
        <v>391</v>
      </c>
      <c r="C21" s="4">
        <f>46297.1971812747 + (VLOOKUP($B$1,TimeZones!$A$1:$C$28,2,FALSE))/24</f>
        <v>46297.488847941364</v>
      </c>
      <c r="D21" s="4">
        <f>46297.2276255971 + (VLOOKUP($B$1,TimeZones!$A$1:$C$28,2,FALSE))/24</f>
        <v>46297.519292263765</v>
      </c>
    </row>
    <row r="22" spans="1:4" x14ac:dyDescent="0.3">
      <c r="A22" s="2" t="s">
        <v>258</v>
      </c>
      <c r="B22" s="2" t="s">
        <v>394</v>
      </c>
      <c r="C22" s="4">
        <f>46297.1932500797 + (VLOOKUP($B$1,TimeZones!$A$1:$C$28,2,FALSE))/24</f>
        <v>46297.484916746362</v>
      </c>
      <c r="D22" s="4">
        <f>46297.2232065432 + (VLOOKUP($B$1,TimeZones!$A$1:$C$28,2,FALSE))/24</f>
        <v>46297.514873209868</v>
      </c>
    </row>
    <row r="23" spans="1:4" x14ac:dyDescent="0.3">
      <c r="A23" s="2" t="s">
        <v>277</v>
      </c>
      <c r="B23" s="2" t="s">
        <v>416</v>
      </c>
      <c r="C23" s="4">
        <f>46297.1934139001 + (VLOOKUP($B$1,TimeZones!$A$1:$C$28,2,FALSE))/24</f>
        <v>46297.485080566767</v>
      </c>
      <c r="D23" s="4">
        <f>46297.2195611918 + (VLOOKUP($B$1,TimeZones!$A$1:$C$28,2,FALSE))/24</f>
        <v>46297.511227858464</v>
      </c>
    </row>
    <row r="24" spans="1:4" x14ac:dyDescent="0.3">
      <c r="A24" s="2" t="s">
        <v>274</v>
      </c>
      <c r="B24" s="2" t="s">
        <v>420</v>
      </c>
      <c r="C24" s="4">
        <f>46297.1935390383 + (VLOOKUP($B$1,TimeZones!$A$1:$C$28,2,FALSE))/24</f>
        <v>46297.485205704965</v>
      </c>
      <c r="D24" s="4">
        <f>46297.2250759546 + (VLOOKUP($B$1,TimeZones!$A$1:$C$28,2,FALSE))/24</f>
        <v>46297.516742621265</v>
      </c>
    </row>
    <row r="25" spans="1:4" x14ac:dyDescent="0.3">
      <c r="A25" s="2" t="s">
        <v>272</v>
      </c>
      <c r="B25" s="2" t="s">
        <v>421</v>
      </c>
      <c r="C25" s="4">
        <f>46297.1927593049 + (VLOOKUP($B$1,TimeZones!$A$1:$C$28,2,FALSE))/24</f>
        <v>46297.484425971561</v>
      </c>
      <c r="D25" s="4">
        <f>46297.228878925 + (VLOOKUP($B$1,TimeZones!$A$1:$C$28,2,FALSE))/24</f>
        <v>46297.520545591666</v>
      </c>
    </row>
    <row r="26" spans="1:4" x14ac:dyDescent="0.3">
      <c r="A26" s="2" t="s">
        <v>260</v>
      </c>
      <c r="B26" s="2" t="s">
        <v>444</v>
      </c>
      <c r="C26" s="4">
        <f>46297.1940252484 + (VLOOKUP($B$1,TimeZones!$A$1:$C$28,2,FALSE))/24</f>
        <v>46297.485691915062</v>
      </c>
      <c r="D26" s="4">
        <f>46297.2293236379 + (VLOOKUP($B$1,TimeZones!$A$1:$C$28,2,FALSE))/24</f>
        <v>46297.520990304562</v>
      </c>
    </row>
    <row r="27" spans="1:4" x14ac:dyDescent="0.3">
      <c r="A27" s="2" t="s">
        <v>263</v>
      </c>
      <c r="B27" s="2" t="s">
        <v>449</v>
      </c>
      <c r="C27" s="4">
        <f>46297.1935887358 + (VLOOKUP($B$1,TimeZones!$A$1:$C$28,2,FALSE))/24</f>
        <v>46297.485255402462</v>
      </c>
      <c r="D27" s="4">
        <f>46297.2308180609 + (VLOOKUP($B$1,TimeZones!$A$1:$C$28,2,FALSE))/24</f>
        <v>46297.522484727568</v>
      </c>
    </row>
    <row r="28" spans="1:4" x14ac:dyDescent="0.3">
      <c r="A28" s="2" t="s">
        <v>245</v>
      </c>
      <c r="B28" s="2" t="s">
        <v>450</v>
      </c>
      <c r="C28" s="4">
        <f>46297.1923755767 + (VLOOKUP($B$1,TimeZones!$A$1:$C$28,2,FALSE))/24</f>
        <v>46297.484042243363</v>
      </c>
      <c r="D28" s="4">
        <f>46297.2194293307 + (VLOOKUP($B$1,TimeZones!$A$1:$C$28,2,FALSE))/24</f>
        <v>46297.511095997361</v>
      </c>
    </row>
    <row r="29" spans="1:4" x14ac:dyDescent="0.3">
      <c r="A29" s="2" t="s">
        <v>259</v>
      </c>
      <c r="B29" s="2" t="s">
        <v>454</v>
      </c>
      <c r="C29" s="4">
        <f>46297.1939879337 + (VLOOKUP($B$1,TimeZones!$A$1:$C$28,2,FALSE))/24</f>
        <v>46297.485654600365</v>
      </c>
      <c r="D29" s="4">
        <f>46297.2226495711 + (VLOOKUP($B$1,TimeZones!$A$1:$C$28,2,FALSE))/24</f>
        <v>46297.514316237764</v>
      </c>
    </row>
    <row r="30" spans="1:4" x14ac:dyDescent="0.3">
      <c r="A30" s="2" t="s">
        <v>264</v>
      </c>
      <c r="B30" s="2" t="s">
        <v>462</v>
      </c>
      <c r="C30" s="4">
        <f>46297.1941498557 + (VLOOKUP($B$1,TimeZones!$A$1:$C$28,2,FALSE))/24</f>
        <v>46297.485816522363</v>
      </c>
      <c r="D30" s="4">
        <f>46297.226197109 + (VLOOKUP($B$1,TimeZones!$A$1:$C$28,2,FALSE))/24</f>
        <v>46297.517863775662</v>
      </c>
    </row>
    <row r="31" spans="1:4" x14ac:dyDescent="0.3">
      <c r="A31" s="2" t="s">
        <v>252</v>
      </c>
      <c r="B31" s="2" t="s">
        <v>467</v>
      </c>
      <c r="C31" s="4">
        <f>46297.0635292357 + (VLOOKUP($B$1,TimeZones!$A$1:$C$28,2,FALSE))/24</f>
        <v>46297.355195902361</v>
      </c>
      <c r="D31" s="4">
        <f>46297.100144538 + (VLOOKUP($B$1,TimeZones!$A$1:$C$28,2,FALSE))/24</f>
        <v>46297.391811204761</v>
      </c>
    </row>
    <row r="32" spans="1:4" x14ac:dyDescent="0.3">
      <c r="A32" s="2" t="s">
        <v>244</v>
      </c>
      <c r="B32" s="2" t="s">
        <v>488</v>
      </c>
      <c r="C32" s="4">
        <f>46297.194600198 + (VLOOKUP($B$1,TimeZones!$A$1:$C$28,2,FALSE))/24</f>
        <v>46297.486266864667</v>
      </c>
      <c r="D32" s="4">
        <f>46297.2212023683 + (VLOOKUP($B$1,TimeZones!$A$1:$C$28,2,FALSE))/24</f>
        <v>46297.512869034967</v>
      </c>
    </row>
    <row r="33" spans="1:4" x14ac:dyDescent="0.3">
      <c r="A33" s="2" t="s">
        <v>243</v>
      </c>
      <c r="B33" s="2" t="s">
        <v>493</v>
      </c>
      <c r="C33" s="4">
        <f>46297.0454322939 + (VLOOKUP($B$1,TimeZones!$A$1:$C$28,2,FALSE))/24</f>
        <v>46297.337098960561</v>
      </c>
      <c r="D33" s="4">
        <f>46297.1033107064 + (VLOOKUP($B$1,TimeZones!$A$1:$C$28,2,FALSE))/24</f>
        <v>46297.394977373064</v>
      </c>
    </row>
    <row r="34" spans="1:4" x14ac:dyDescent="0.3">
      <c r="A34" s="2" t="s">
        <v>251</v>
      </c>
      <c r="B34" s="2" t="s">
        <v>496</v>
      </c>
      <c r="C34" s="4">
        <f>46297.1940827782 + (VLOOKUP($B$1,TimeZones!$A$1:$C$28,2,FALSE))/24</f>
        <v>46297.485749444866</v>
      </c>
      <c r="D34" s="4">
        <f>46297.2327945676 + (VLOOKUP($B$1,TimeZones!$A$1:$C$28,2,FALSE))/24</f>
        <v>46297.524461234265</v>
      </c>
    </row>
    <row r="35" spans="1:4" x14ac:dyDescent="0.3">
      <c r="A35" s="2" t="s">
        <v>257</v>
      </c>
      <c r="B35" s="2" t="s">
        <v>531</v>
      </c>
      <c r="C35" s="4">
        <f>46297.1938491745 + (VLOOKUP($B$1,TimeZones!$A$1:$C$28,2,FALSE))/24</f>
        <v>46297.485515841166</v>
      </c>
      <c r="D35" s="4">
        <f>46297.2414503797 + (VLOOKUP($B$1,TimeZones!$A$1:$C$28,2,FALSE))/24</f>
        <v>46297.533117046361</v>
      </c>
    </row>
    <row r="36" spans="1:4" x14ac:dyDescent="0.3">
      <c r="A36" s="2" t="s">
        <v>273</v>
      </c>
      <c r="B36" s="2" t="s">
        <v>550</v>
      </c>
      <c r="C36" s="4">
        <f>46297.1939675897 + (VLOOKUP($B$1,TimeZones!$A$1:$C$28,2,FALSE))/24</f>
        <v>46297.485634256365</v>
      </c>
      <c r="D36" s="4">
        <f>46297.2314268318 + (VLOOKUP($B$1,TimeZones!$A$1:$C$28,2,FALSE))/24</f>
        <v>46297.523093498465</v>
      </c>
    </row>
    <row r="37" spans="1:4" x14ac:dyDescent="0.3">
      <c r="A37" s="2" t="s">
        <v>247</v>
      </c>
      <c r="B37" s="2" t="s">
        <v>555</v>
      </c>
      <c r="C37" s="4">
        <f>46297.1946789084 + (VLOOKUP($B$1,TimeZones!$A$1:$C$28,2,FALSE))/24</f>
        <v>46297.486345575067</v>
      </c>
      <c r="D37" s="4">
        <f>46297.2232616941 + (VLOOKUP($B$1,TimeZones!$A$1:$C$28,2,FALSE))/24</f>
        <v>46297.514928360761</v>
      </c>
    </row>
    <row r="38" spans="1:4" x14ac:dyDescent="0.3">
      <c r="A38" s="2" t="s">
        <v>271</v>
      </c>
      <c r="B38" s="2" t="s">
        <v>585</v>
      </c>
      <c r="C38" s="4">
        <f>46297.1930015255 + (VLOOKUP($B$1,TimeZones!$A$1:$C$28,2,FALSE))/24</f>
        <v>46297.484668192163</v>
      </c>
      <c r="D38" s="4">
        <f>46297.231133245 + (VLOOKUP($B$1,TimeZones!$A$1:$C$28,2,FALSE))/24</f>
        <v>46297.522799911661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s="5" t="s">
        <v>524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>
          <x14:formula1>
            <xm:f>TimeZones!$A$1:$A$28</xm:f>
          </x14:formula1>
          <xm:sqref>B1</xm:sqref>
        </x14:dataValidation>
      </x14:dataValidation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4.4" x14ac:dyDescent="0.3"/>
  <cols>
    <col min="1" max="1" width="139.21875" customWidth="1"/>
    <col min="2" max="2" width="34.77734375" customWidth="1"/>
    <col min="3" max="3" width="92.77734375" customWidth="1"/>
  </cols>
  <sheetData>
    <row r="1" spans="1:3" x14ac:dyDescent="0.3">
      <c r="A1" s="2" t="s">
        <v>279</v>
      </c>
      <c r="B1" s="2">
        <v>0</v>
      </c>
      <c r="C1" s="2" t="s">
        <v>278</v>
      </c>
    </row>
    <row r="2" spans="1:3" x14ac:dyDescent="0.3">
      <c r="A2" s="2" t="s">
        <v>376</v>
      </c>
      <c r="B2" s="2">
        <v>2</v>
      </c>
      <c r="C2" s="2" t="s">
        <v>375</v>
      </c>
    </row>
    <row r="3" spans="1:3" x14ac:dyDescent="0.3">
      <c r="A3" s="2" t="s">
        <v>442</v>
      </c>
      <c r="B3" s="2">
        <v>3</v>
      </c>
      <c r="C3" s="2" t="s">
        <v>441</v>
      </c>
    </row>
    <row r="4" spans="1:3" x14ac:dyDescent="0.3">
      <c r="A4" s="2" t="s">
        <v>516</v>
      </c>
      <c r="B4" s="2">
        <v>3</v>
      </c>
      <c r="C4" s="2" t="s">
        <v>515</v>
      </c>
    </row>
    <row r="5" spans="1:3" x14ac:dyDescent="0.3">
      <c r="A5" s="2" t="s">
        <v>386</v>
      </c>
      <c r="B5" s="2">
        <v>3</v>
      </c>
      <c r="C5" s="2" t="s">
        <v>385</v>
      </c>
    </row>
    <row r="6" spans="1:3" x14ac:dyDescent="0.3">
      <c r="A6" s="2" t="s">
        <v>322</v>
      </c>
      <c r="B6" s="2">
        <v>3</v>
      </c>
      <c r="C6" s="2" t="s">
        <v>321</v>
      </c>
    </row>
    <row r="7" spans="1:3" x14ac:dyDescent="0.3">
      <c r="A7" s="2" t="s">
        <v>292</v>
      </c>
      <c r="B7" s="2">
        <v>4</v>
      </c>
      <c r="C7" s="2" t="s">
        <v>291</v>
      </c>
    </row>
    <row r="8" spans="1:3" x14ac:dyDescent="0.3">
      <c r="A8" s="2" t="s">
        <v>507</v>
      </c>
      <c r="B8" s="2">
        <v>4</v>
      </c>
      <c r="C8" s="2" t="s">
        <v>506</v>
      </c>
    </row>
    <row r="9" spans="1:3" x14ac:dyDescent="0.3">
      <c r="A9" s="2" t="s">
        <v>542</v>
      </c>
      <c r="B9" s="2">
        <v>4</v>
      </c>
      <c r="C9" s="2" t="s">
        <v>541</v>
      </c>
    </row>
    <row r="10" spans="1:3" x14ac:dyDescent="0.3">
      <c r="A10" s="2" t="s">
        <v>505</v>
      </c>
      <c r="B10" s="2">
        <v>4</v>
      </c>
      <c r="C10" s="2" t="s">
        <v>504</v>
      </c>
    </row>
    <row r="11" spans="1:3" x14ac:dyDescent="0.3">
      <c r="A11" s="2" t="s">
        <v>348</v>
      </c>
      <c r="B11" s="2">
        <v>5</v>
      </c>
      <c r="C11" s="2" t="s">
        <v>347</v>
      </c>
    </row>
    <row r="12" spans="1:3" x14ac:dyDescent="0.3">
      <c r="A12" s="2" t="s">
        <v>464</v>
      </c>
      <c r="B12" s="2">
        <v>6</v>
      </c>
      <c r="C12" s="2" t="s">
        <v>463</v>
      </c>
    </row>
    <row r="13" spans="1:3" x14ac:dyDescent="0.3">
      <c r="A13" s="2" t="s">
        <v>461</v>
      </c>
      <c r="B13" s="2">
        <v>7</v>
      </c>
      <c r="C13" s="2" t="s">
        <v>460</v>
      </c>
    </row>
    <row r="14" spans="1:3" x14ac:dyDescent="0.3">
      <c r="A14" s="2" t="s">
        <v>300</v>
      </c>
      <c r="B14" s="2">
        <v>7</v>
      </c>
      <c r="C14" s="2" t="s">
        <v>299</v>
      </c>
    </row>
    <row r="15" spans="1:3" x14ac:dyDescent="0.3">
      <c r="A15" s="2" t="s">
        <v>537</v>
      </c>
      <c r="B15" s="2">
        <v>7</v>
      </c>
      <c r="C15" s="2" t="s">
        <v>536</v>
      </c>
    </row>
    <row r="16" spans="1:3" x14ac:dyDescent="0.3">
      <c r="A16" s="2" t="s">
        <v>459</v>
      </c>
      <c r="B16" s="2">
        <v>7</v>
      </c>
      <c r="C16" s="2" t="s">
        <v>458</v>
      </c>
    </row>
    <row r="17" spans="1:3" x14ac:dyDescent="0.3">
      <c r="A17" s="2" t="s">
        <v>405</v>
      </c>
      <c r="B17" s="2">
        <v>7</v>
      </c>
      <c r="C17" s="2" t="s">
        <v>404</v>
      </c>
    </row>
    <row r="18" spans="1:3" x14ac:dyDescent="0.3">
      <c r="A18" s="2" t="s">
        <v>372</v>
      </c>
      <c r="B18" s="2">
        <v>8</v>
      </c>
      <c r="C18" s="2" t="s">
        <v>371</v>
      </c>
    </row>
    <row r="19" spans="1:3" x14ac:dyDescent="0.3">
      <c r="A19" s="2" t="s">
        <v>568</v>
      </c>
      <c r="B19" s="2">
        <v>9</v>
      </c>
      <c r="C19" s="2" t="s">
        <v>567</v>
      </c>
    </row>
    <row r="20" spans="1:3" x14ac:dyDescent="0.3">
      <c r="A20" s="2" t="s">
        <v>587</v>
      </c>
      <c r="B20" s="2">
        <v>9</v>
      </c>
      <c r="C20" s="2" t="s">
        <v>586</v>
      </c>
    </row>
    <row r="21" spans="1:3" x14ac:dyDescent="0.3">
      <c r="A21" s="2" t="s">
        <v>561</v>
      </c>
      <c r="B21" s="2">
        <v>9</v>
      </c>
      <c r="C21" s="2" t="s">
        <v>560</v>
      </c>
    </row>
    <row r="22" spans="1:3" x14ac:dyDescent="0.3">
      <c r="A22" s="2" t="s">
        <v>317</v>
      </c>
      <c r="B22" s="2">
        <v>10</v>
      </c>
      <c r="C22" s="2" t="s">
        <v>316</v>
      </c>
    </row>
    <row r="23" spans="1:3" x14ac:dyDescent="0.3">
      <c r="A23" s="2" t="s">
        <v>548</v>
      </c>
      <c r="B23" s="2">
        <v>10</v>
      </c>
      <c r="C23" s="2" t="s">
        <v>547</v>
      </c>
    </row>
    <row r="24" spans="1:3" x14ac:dyDescent="0.3">
      <c r="A24" s="2" t="s">
        <v>426</v>
      </c>
      <c r="B24" s="2">
        <v>11</v>
      </c>
      <c r="C24" s="2" t="s">
        <v>425</v>
      </c>
    </row>
    <row r="25" spans="1:3" x14ac:dyDescent="0.3">
      <c r="A25" s="2" t="s">
        <v>509</v>
      </c>
      <c r="B25" s="2">
        <v>11</v>
      </c>
      <c r="C25" s="2" t="s">
        <v>508</v>
      </c>
    </row>
    <row r="26" spans="1:3" x14ac:dyDescent="0.3">
      <c r="A26" s="2" t="s">
        <v>526</v>
      </c>
      <c r="B26" s="2">
        <v>11</v>
      </c>
      <c r="C26" s="2" t="s">
        <v>525</v>
      </c>
    </row>
    <row r="27" spans="1:3" x14ac:dyDescent="0.3">
      <c r="A27" s="2" t="s">
        <v>379</v>
      </c>
      <c r="B27" s="2">
        <v>12</v>
      </c>
      <c r="C27" s="2" t="s">
        <v>378</v>
      </c>
    </row>
    <row r="28" spans="1:3" x14ac:dyDescent="0.3">
      <c r="A28" s="2" t="s">
        <v>285</v>
      </c>
      <c r="B28" s="2">
        <v>12</v>
      </c>
      <c r="C28" s="2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19433 Астрономия 5 класс</vt:lpstr>
      <vt:lpstr>19434 Астрономия 6 класс</vt:lpstr>
      <vt:lpstr>19435 Астрономия 7 класс</vt:lpstr>
      <vt:lpstr>19436 Астрономия 8 класс</vt:lpstr>
      <vt:lpstr>19437 Астрономия 9 класс</vt:lpstr>
      <vt:lpstr>19438 Астрономия 10 класс</vt:lpstr>
      <vt:lpstr>19439 Астрономия 11 класс</vt:lpstr>
      <vt:lpstr>19538 Биология 5 класс</vt:lpstr>
      <vt:lpstr>19539 Биология 6 класс</vt:lpstr>
      <vt:lpstr>19540 Биология 7 класс</vt:lpstr>
      <vt:lpstr>19541 Биология 8 класс</vt:lpstr>
      <vt:lpstr>19542 Биология 9 класс</vt:lpstr>
      <vt:lpstr>19543 Биология 10 класс</vt:lpstr>
      <vt:lpstr>19544 Биология 11 класс</vt:lpstr>
      <vt:lpstr>20328 Демонстрационная 11 класс</vt:lpstr>
      <vt:lpstr>20057 Информатика (инф 5 класс</vt:lpstr>
      <vt:lpstr>20058 Информатика (инф 6 класс</vt:lpstr>
      <vt:lpstr>20059 Информатика (инф 7 класс</vt:lpstr>
      <vt:lpstr>20060 Информатика (инф 8 класс</vt:lpstr>
      <vt:lpstr>20061 Информатика (инф 9 класс</vt:lpstr>
      <vt:lpstr>20062 Информатика (инф 10 класс</vt:lpstr>
      <vt:lpstr>20063 Информатика (инф 11 класс</vt:lpstr>
      <vt:lpstr>20078 Информатика (иск 5 класс</vt:lpstr>
      <vt:lpstr>20079 Информатика (иск 6 класс</vt:lpstr>
      <vt:lpstr>20080 Информатика (иск 7 класс</vt:lpstr>
      <vt:lpstr>20081 Информатика (иск 8 класс</vt:lpstr>
      <vt:lpstr>20082 Информатика (иск 9 класс</vt:lpstr>
      <vt:lpstr>20083 Информатика (иск 10 класс</vt:lpstr>
      <vt:lpstr>20084 Информатика (иск 11 класс</vt:lpstr>
      <vt:lpstr>19903 Информатика (про 5 класс</vt:lpstr>
      <vt:lpstr>19904 Информатика (про 6 класс</vt:lpstr>
      <vt:lpstr>19905 Информатика (про 7 класс</vt:lpstr>
      <vt:lpstr>19906 Информатика (про 8 класс</vt:lpstr>
      <vt:lpstr>19907 Информатика (про 9 класс</vt:lpstr>
      <vt:lpstr>19908 Информатика (про 10 класс</vt:lpstr>
      <vt:lpstr>19909 Информатика (про 11 класс</vt:lpstr>
      <vt:lpstr>19813 Информатика (роб 5 класс</vt:lpstr>
      <vt:lpstr>19814 Информатика (роб 6 класс</vt:lpstr>
      <vt:lpstr>19815 Информатика (роб 7 класс</vt:lpstr>
      <vt:lpstr>19816 Информатика (роб 8 класс</vt:lpstr>
      <vt:lpstr>19817 Информатика (роб 9 класс</vt:lpstr>
      <vt:lpstr>19818 Информатика (роб 10 класс</vt:lpstr>
      <vt:lpstr>19819 Информатика (роб 11 класс</vt:lpstr>
      <vt:lpstr>19693 Математика 4 класс</vt:lpstr>
      <vt:lpstr>19694 Математика 5 класс</vt:lpstr>
      <vt:lpstr>19695 Математика 6 класс</vt:lpstr>
      <vt:lpstr>19696 Математика 7 класс</vt:lpstr>
      <vt:lpstr>19697 Математика 8 класс</vt:lpstr>
      <vt:lpstr>19698 Математика 9 класс</vt:lpstr>
      <vt:lpstr>19699 Математика 10 класс</vt:lpstr>
      <vt:lpstr>19700 Математика 11 класс</vt:lpstr>
      <vt:lpstr>19519 Физика 7 класс</vt:lpstr>
      <vt:lpstr>19520 Физика 8 класс</vt:lpstr>
      <vt:lpstr>19521 Физика 9 класс</vt:lpstr>
      <vt:lpstr>19522 Физика 10 класс</vt:lpstr>
      <vt:lpstr>19523 Физика 11 класс</vt:lpstr>
      <vt:lpstr>19706 Химия 7 класс</vt:lpstr>
      <vt:lpstr>19707 Химия 8 класс</vt:lpstr>
      <vt:lpstr>19708 Химия 9 класс</vt:lpstr>
      <vt:lpstr>19709 Химия 10 класс</vt:lpstr>
      <vt:lpstr>19710 Химия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2026-10-06T00:39:56Z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2026-10-06T00:37:48.166622122Z</dcterms:created>
  <dc:creator>xlsxwriter</dc:creator>
  <cp:lastModifiedBy>xlsxwriter</cp:lastModifiedBy>
</cp:coreProperties>
</file>